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TAL\COLO\7011\Proj\7011-00461-00 Flatiron-Aecon Bow River Bridge\10.0 DRAWINGS\10.5 Structural\10.5.3 References\"/>
    </mc:Choice>
  </mc:AlternateContent>
  <xr:revisionPtr revIDLastSave="0" documentId="13_ncr:1_{CFAD735E-816C-46B5-B1E6-BC2AAFA1AE0B}" xr6:coauthVersionLast="43" xr6:coauthVersionMax="43" xr10:uidLastSave="{00000000-0000-0000-0000-000000000000}"/>
  <bookViews>
    <workbookView xWindow="11235" yWindow="0" windowWidth="9570" windowHeight="12645" activeTab="2" xr2:uid="{D1FC0D16-9268-41B9-AE4B-081D0988AE00}"/>
  </bookViews>
  <sheets>
    <sheet name="Align" sheetId="1" r:id="rId1"/>
    <sheet name="TendonLayout" sheetId="2" r:id="rId2"/>
    <sheet name="TendonLayout1" sheetId="5" r:id="rId3"/>
    <sheet name="Segment Lengths" sheetId="6" r:id="rId4"/>
    <sheet name="Segments" sheetId="3" r:id="rId5"/>
    <sheet name="FutureTendons" sheetId="4" r:id="rId6"/>
  </sheets>
  <definedNames>
    <definedName name="Radius_at_L201">TendonLayout1!$C$3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0" i="5" l="1"/>
  <c r="V73" i="5"/>
  <c r="V72" i="5"/>
  <c r="V65" i="5"/>
  <c r="V64" i="5"/>
  <c r="V57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60" i="5"/>
  <c r="U61" i="5"/>
  <c r="U68" i="5"/>
  <c r="U69" i="5"/>
  <c r="U76" i="5"/>
  <c r="U77" i="5"/>
  <c r="U6" i="5"/>
  <c r="AU80" i="5"/>
  <c r="AU79" i="5"/>
  <c r="V79" i="5" s="1"/>
  <c r="AU78" i="5"/>
  <c r="V78" i="5" s="1"/>
  <c r="AU77" i="5"/>
  <c r="V77" i="5" s="1"/>
  <c r="AU76" i="5"/>
  <c r="V76" i="5" s="1"/>
  <c r="AU75" i="5"/>
  <c r="V75" i="5" s="1"/>
  <c r="AU74" i="5"/>
  <c r="V74" i="5" s="1"/>
  <c r="AU73" i="5"/>
  <c r="AU72" i="5"/>
  <c r="AU71" i="5"/>
  <c r="V71" i="5" s="1"/>
  <c r="AU70" i="5"/>
  <c r="V70" i="5" s="1"/>
  <c r="AU69" i="5"/>
  <c r="V69" i="5" s="1"/>
  <c r="AU68" i="5"/>
  <c r="V68" i="5" s="1"/>
  <c r="AU67" i="5"/>
  <c r="V67" i="5" s="1"/>
  <c r="AU66" i="5"/>
  <c r="V66" i="5" s="1"/>
  <c r="AU65" i="5"/>
  <c r="AU64" i="5"/>
  <c r="AU63" i="5"/>
  <c r="V63" i="5" s="1"/>
  <c r="AU62" i="5"/>
  <c r="V62" i="5" s="1"/>
  <c r="AU61" i="5"/>
  <c r="V61" i="5" s="1"/>
  <c r="AU60" i="5"/>
  <c r="V60" i="5" s="1"/>
  <c r="AU59" i="5"/>
  <c r="V59" i="5" s="1"/>
  <c r="AU58" i="5"/>
  <c r="V58" i="5" s="1"/>
  <c r="AU57" i="5"/>
  <c r="AU56" i="5"/>
  <c r="V56" i="5" s="1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U57" i="5" s="1"/>
  <c r="AT58" i="5"/>
  <c r="U58" i="5" s="1"/>
  <c r="AT59" i="5"/>
  <c r="U59" i="5" s="1"/>
  <c r="AT60" i="5"/>
  <c r="AT61" i="5"/>
  <c r="AT62" i="5"/>
  <c r="U62" i="5" s="1"/>
  <c r="AT63" i="5"/>
  <c r="U63" i="5" s="1"/>
  <c r="AT64" i="5"/>
  <c r="U64" i="5" s="1"/>
  <c r="AT65" i="5"/>
  <c r="U65" i="5" s="1"/>
  <c r="AT66" i="5"/>
  <c r="U66" i="5" s="1"/>
  <c r="AT67" i="5"/>
  <c r="U67" i="5" s="1"/>
  <c r="AT68" i="5"/>
  <c r="AT69" i="5"/>
  <c r="AT70" i="5"/>
  <c r="U70" i="5" s="1"/>
  <c r="AT71" i="5"/>
  <c r="U71" i="5" s="1"/>
  <c r="AT72" i="5"/>
  <c r="U72" i="5" s="1"/>
  <c r="AT73" i="5"/>
  <c r="U73" i="5" s="1"/>
  <c r="AT74" i="5"/>
  <c r="U74" i="5" s="1"/>
  <c r="AT75" i="5"/>
  <c r="U75" i="5" s="1"/>
  <c r="AT76" i="5"/>
  <c r="AT77" i="5"/>
  <c r="AT78" i="5"/>
  <c r="U78" i="5" s="1"/>
  <c r="AT79" i="5"/>
  <c r="U79" i="5" s="1"/>
  <c r="AT80" i="5"/>
  <c r="U80" i="5" s="1"/>
  <c r="AT6" i="5"/>
  <c r="F76" i="5"/>
  <c r="F75" i="5"/>
  <c r="F68" i="5"/>
  <c r="F67" i="5"/>
  <c r="F60" i="5"/>
  <c r="F59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64" i="5"/>
  <c r="E65" i="5"/>
  <c r="E72" i="5"/>
  <c r="E73" i="5"/>
  <c r="E80" i="5"/>
  <c r="E6" i="5"/>
  <c r="AQ80" i="5"/>
  <c r="F80" i="5" s="1"/>
  <c r="AQ79" i="5"/>
  <c r="F79" i="5" s="1"/>
  <c r="AQ78" i="5"/>
  <c r="F78" i="5" s="1"/>
  <c r="AQ77" i="5"/>
  <c r="F77" i="5" s="1"/>
  <c r="AQ76" i="5"/>
  <c r="AQ75" i="5"/>
  <c r="AQ74" i="5"/>
  <c r="F74" i="5" s="1"/>
  <c r="AQ73" i="5"/>
  <c r="F73" i="5" s="1"/>
  <c r="AQ72" i="5"/>
  <c r="F72" i="5" s="1"/>
  <c r="AQ71" i="5"/>
  <c r="F71" i="5" s="1"/>
  <c r="AQ70" i="5"/>
  <c r="F70" i="5" s="1"/>
  <c r="AQ69" i="5"/>
  <c r="F69" i="5" s="1"/>
  <c r="AQ68" i="5"/>
  <c r="AQ67" i="5"/>
  <c r="AQ66" i="5"/>
  <c r="F66" i="5" s="1"/>
  <c r="AQ65" i="5"/>
  <c r="F65" i="5" s="1"/>
  <c r="AQ64" i="5"/>
  <c r="F64" i="5" s="1"/>
  <c r="AQ63" i="5"/>
  <c r="F63" i="5" s="1"/>
  <c r="AQ62" i="5"/>
  <c r="F62" i="5" s="1"/>
  <c r="AQ61" i="5"/>
  <c r="F61" i="5" s="1"/>
  <c r="AQ60" i="5"/>
  <c r="AQ59" i="5"/>
  <c r="AQ58" i="5"/>
  <c r="F58" i="5" s="1"/>
  <c r="AQ57" i="5"/>
  <c r="F57" i="5" s="1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7" i="5"/>
  <c r="AQ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E58" i="5" s="1"/>
  <c r="AP59" i="5"/>
  <c r="E59" i="5" s="1"/>
  <c r="AP60" i="5"/>
  <c r="E60" i="5" s="1"/>
  <c r="AP61" i="5"/>
  <c r="E61" i="5" s="1"/>
  <c r="AP62" i="5"/>
  <c r="E62" i="5" s="1"/>
  <c r="AP63" i="5"/>
  <c r="E63" i="5" s="1"/>
  <c r="AP64" i="5"/>
  <c r="AP65" i="5"/>
  <c r="AP66" i="5"/>
  <c r="E66" i="5" s="1"/>
  <c r="AP67" i="5"/>
  <c r="E67" i="5" s="1"/>
  <c r="AP68" i="5"/>
  <c r="E68" i="5" s="1"/>
  <c r="AP69" i="5"/>
  <c r="E69" i="5" s="1"/>
  <c r="AP70" i="5"/>
  <c r="E70" i="5" s="1"/>
  <c r="AP71" i="5"/>
  <c r="E71" i="5" s="1"/>
  <c r="AP72" i="5"/>
  <c r="AP73" i="5"/>
  <c r="AP74" i="5"/>
  <c r="E74" i="5" s="1"/>
  <c r="AP75" i="5"/>
  <c r="E75" i="5" s="1"/>
  <c r="AP76" i="5"/>
  <c r="E76" i="5" s="1"/>
  <c r="AP77" i="5"/>
  <c r="E77" i="5" s="1"/>
  <c r="AP78" i="5"/>
  <c r="E78" i="5" s="1"/>
  <c r="AP79" i="5"/>
  <c r="E79" i="5" s="1"/>
  <c r="AP80" i="5"/>
  <c r="AP6" i="5"/>
  <c r="AO31" i="5" l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N32" i="5"/>
  <c r="AN33" i="5" s="1"/>
  <c r="AN34" i="5" s="1"/>
  <c r="AN35" i="5" s="1"/>
  <c r="AN36" i="5" s="1"/>
  <c r="AN37" i="5" s="1"/>
  <c r="AN38" i="5" s="1"/>
  <c r="AN39" i="5" s="1"/>
  <c r="AN40" i="5" s="1"/>
  <c r="AN41" i="5" s="1"/>
  <c r="AN42" i="5" s="1"/>
  <c r="AN43" i="5" s="1"/>
  <c r="AN44" i="5" s="1"/>
  <c r="AN45" i="5" s="1"/>
  <c r="AN46" i="5" s="1"/>
  <c r="AN47" i="5" s="1"/>
  <c r="AN48" i="5" s="1"/>
  <c r="AN49" i="5" s="1"/>
  <c r="AN50" i="5" s="1"/>
  <c r="AN51" i="5" s="1"/>
  <c r="AN52" i="5" s="1"/>
  <c r="AN53" i="5" s="1"/>
  <c r="AN54" i="5" s="1"/>
  <c r="AN55" i="5" s="1"/>
  <c r="AL1" i="5"/>
  <c r="AM1" i="5" s="1"/>
  <c r="W53" i="5" l="1"/>
  <c r="Y56" i="5" l="1"/>
  <c r="X56" i="5"/>
  <c r="Y6" i="5"/>
  <c r="X6" i="5"/>
  <c r="B13" i="6" l="1"/>
  <c r="B12" i="6" s="1"/>
  <c r="B11" i="6" s="1"/>
  <c r="B10" i="6" s="1"/>
  <c r="B9" i="6" s="1"/>
  <c r="B8" i="6" s="1"/>
  <c r="B7" i="6" s="1"/>
  <c r="B6" i="6" s="1"/>
  <c r="B5" i="6" s="1"/>
  <c r="B4" i="6" s="1"/>
  <c r="B3" i="6" s="1"/>
  <c r="B2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AF6" i="5"/>
  <c r="AE6" i="5"/>
  <c r="AD53" i="5"/>
  <c r="AE53" i="5"/>
  <c r="AF53" i="5"/>
  <c r="AG53" i="5"/>
  <c r="B1" i="5"/>
  <c r="C1" i="5" s="1"/>
  <c r="D1" i="5" s="1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D6" i="5" l="1"/>
  <c r="I62" i="5"/>
  <c r="I64" i="5" s="1"/>
  <c r="I61" i="5"/>
  <c r="I63" i="5" s="1"/>
  <c r="J59" i="5"/>
  <c r="J61" i="5" s="1"/>
  <c r="J63" i="5" s="1"/>
  <c r="J58" i="5"/>
  <c r="J60" i="5" s="1"/>
  <c r="I37" i="5"/>
  <c r="I39" i="5" s="1"/>
  <c r="I36" i="5"/>
  <c r="I38" i="5" s="1"/>
  <c r="J34" i="5"/>
  <c r="L34" i="5" s="1"/>
  <c r="J33" i="5"/>
  <c r="J35" i="5" s="1"/>
  <c r="J9" i="5"/>
  <c r="J11" i="5" s="1"/>
  <c r="L11" i="5" s="1"/>
  <c r="J8" i="5"/>
  <c r="J10" i="5" s="1"/>
  <c r="L10" i="5" s="1"/>
  <c r="I12" i="5"/>
  <c r="I11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6" i="5"/>
  <c r="AB6" i="5" s="1"/>
  <c r="L7" i="5"/>
  <c r="L9" i="5"/>
  <c r="L31" i="5"/>
  <c r="L32" i="5"/>
  <c r="L56" i="5"/>
  <c r="L57" i="5"/>
  <c r="L58" i="5"/>
  <c r="L59" i="5"/>
  <c r="G7" i="5"/>
  <c r="K7" i="5" s="1"/>
  <c r="G8" i="5"/>
  <c r="K8" i="5" s="1"/>
  <c r="G9" i="5"/>
  <c r="K9" i="5" s="1"/>
  <c r="G10" i="5"/>
  <c r="K10" i="5" s="1"/>
  <c r="AB10" i="5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K32" i="5" s="1"/>
  <c r="G33" i="5"/>
  <c r="K33" i="5" s="1"/>
  <c r="G34" i="5"/>
  <c r="K34" i="5" s="1"/>
  <c r="AB34" i="5" s="1"/>
  <c r="G35" i="5"/>
  <c r="K35" i="5" s="1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K57" i="5" s="1"/>
  <c r="G58" i="5"/>
  <c r="K58" i="5" s="1"/>
  <c r="G59" i="5"/>
  <c r="K59" i="5" s="1"/>
  <c r="G60" i="5"/>
  <c r="K60" i="5" s="1"/>
  <c r="G61" i="5"/>
  <c r="K61" i="5" s="1"/>
  <c r="G62" i="5"/>
  <c r="K62" i="5" s="1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L6" i="5"/>
  <c r="G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X53" i="5" l="1"/>
  <c r="Y53" i="5"/>
  <c r="D80" i="5"/>
  <c r="AD72" i="5"/>
  <c r="AE72" i="5"/>
  <c r="AF72" i="5"/>
  <c r="AG72" i="5"/>
  <c r="AD47" i="5"/>
  <c r="AE47" i="5"/>
  <c r="AF47" i="5"/>
  <c r="AG47" i="5"/>
  <c r="AD23" i="5"/>
  <c r="AE23" i="5"/>
  <c r="AF23" i="5"/>
  <c r="AG23" i="5"/>
  <c r="AD63" i="5"/>
  <c r="AG63" i="5"/>
  <c r="AE63" i="5"/>
  <c r="AF63" i="5"/>
  <c r="AD55" i="5"/>
  <c r="AE55" i="5"/>
  <c r="AF55" i="5"/>
  <c r="AG55" i="5"/>
  <c r="AF46" i="5"/>
  <c r="AG46" i="5"/>
  <c r="AE46" i="5"/>
  <c r="AD46" i="5"/>
  <c r="AF38" i="5"/>
  <c r="AG38" i="5"/>
  <c r="AE38" i="5"/>
  <c r="AD38" i="5"/>
  <c r="AD30" i="5"/>
  <c r="AG30" i="5"/>
  <c r="AE30" i="5"/>
  <c r="AF30" i="5"/>
  <c r="AD22" i="5"/>
  <c r="AE22" i="5"/>
  <c r="AF22" i="5"/>
  <c r="AG22" i="5"/>
  <c r="AG14" i="5"/>
  <c r="AD14" i="5"/>
  <c r="AE14" i="5"/>
  <c r="AF14" i="5"/>
  <c r="X18" i="5"/>
  <c r="Y18" i="5"/>
  <c r="L33" i="5"/>
  <c r="AD78" i="5"/>
  <c r="AE78" i="5"/>
  <c r="AF78" i="5"/>
  <c r="AG78" i="5"/>
  <c r="AD70" i="5"/>
  <c r="AE70" i="5"/>
  <c r="AF70" i="5"/>
  <c r="AG70" i="5"/>
  <c r="AD62" i="5"/>
  <c r="AE62" i="5"/>
  <c r="AF62" i="5"/>
  <c r="AG62" i="5"/>
  <c r="AF54" i="5"/>
  <c r="AG54" i="5"/>
  <c r="AD54" i="5"/>
  <c r="AE54" i="5"/>
  <c r="AD45" i="5"/>
  <c r="AE45" i="5"/>
  <c r="AF45" i="5"/>
  <c r="AG45" i="5"/>
  <c r="AD37" i="5"/>
  <c r="AE37" i="5"/>
  <c r="AF37" i="5"/>
  <c r="AG37" i="5"/>
  <c r="AD29" i="5"/>
  <c r="AE29" i="5"/>
  <c r="AF29" i="5"/>
  <c r="AG29" i="5"/>
  <c r="AD21" i="5"/>
  <c r="AE21" i="5"/>
  <c r="AF21" i="5"/>
  <c r="AG21" i="5"/>
  <c r="AD13" i="5"/>
  <c r="AE13" i="5"/>
  <c r="AF13" i="5"/>
  <c r="AG13" i="5"/>
  <c r="AD65" i="5"/>
  <c r="AE65" i="5"/>
  <c r="AF65" i="5"/>
  <c r="AG65" i="5"/>
  <c r="AF40" i="5"/>
  <c r="AE40" i="5"/>
  <c r="AG40" i="5"/>
  <c r="AD40" i="5"/>
  <c r="AD24" i="5"/>
  <c r="AE24" i="5"/>
  <c r="AF24" i="5"/>
  <c r="AG24" i="5"/>
  <c r="AD64" i="5"/>
  <c r="AE64" i="5"/>
  <c r="AF64" i="5"/>
  <c r="AG64" i="5"/>
  <c r="AD7" i="5"/>
  <c r="AE7" i="5"/>
  <c r="AG79" i="5"/>
  <c r="AD79" i="5"/>
  <c r="AE79" i="5"/>
  <c r="AF79" i="5"/>
  <c r="AG77" i="5"/>
  <c r="AD77" i="5"/>
  <c r="AE77" i="5"/>
  <c r="AF77" i="5"/>
  <c r="AD69" i="5"/>
  <c r="AE69" i="5"/>
  <c r="AG69" i="5"/>
  <c r="AF69" i="5"/>
  <c r="AG61" i="5"/>
  <c r="AD61" i="5"/>
  <c r="AE61" i="5"/>
  <c r="AF61" i="5"/>
  <c r="AF52" i="5"/>
  <c r="AG52" i="5"/>
  <c r="AE52" i="5"/>
  <c r="AD52" i="5"/>
  <c r="AF44" i="5"/>
  <c r="AG44" i="5"/>
  <c r="AE44" i="5"/>
  <c r="AD44" i="5"/>
  <c r="AF36" i="5"/>
  <c r="AG36" i="5"/>
  <c r="AE36" i="5"/>
  <c r="AD36" i="5"/>
  <c r="AD28" i="5"/>
  <c r="AE28" i="5"/>
  <c r="AF28" i="5"/>
  <c r="AG28" i="5"/>
  <c r="AD20" i="5"/>
  <c r="AG20" i="5"/>
  <c r="AE20" i="5"/>
  <c r="AF20" i="5"/>
  <c r="AG12" i="5"/>
  <c r="AD12" i="5"/>
  <c r="AE12" i="5"/>
  <c r="AF12" i="5"/>
  <c r="AE57" i="5"/>
  <c r="AD57" i="5"/>
  <c r="AD32" i="5"/>
  <c r="AE32" i="5"/>
  <c r="AG16" i="5"/>
  <c r="AD16" i="5"/>
  <c r="AE16" i="5"/>
  <c r="AF16" i="5"/>
  <c r="AD80" i="5"/>
  <c r="AE80" i="5"/>
  <c r="AF80" i="5"/>
  <c r="AG80" i="5"/>
  <c r="AD39" i="5"/>
  <c r="AE39" i="5"/>
  <c r="AF39" i="5"/>
  <c r="AG39" i="5"/>
  <c r="AD15" i="5"/>
  <c r="AE15" i="5"/>
  <c r="AF15" i="5"/>
  <c r="AG15" i="5"/>
  <c r="AG71" i="5"/>
  <c r="AD71" i="5"/>
  <c r="AE71" i="5"/>
  <c r="AF71" i="5"/>
  <c r="AD76" i="5"/>
  <c r="AE76" i="5"/>
  <c r="AF76" i="5"/>
  <c r="AG76" i="5"/>
  <c r="AD68" i="5"/>
  <c r="AE68" i="5"/>
  <c r="AF68" i="5"/>
  <c r="AG68" i="5"/>
  <c r="AD60" i="5"/>
  <c r="AE60" i="5"/>
  <c r="AF60" i="5"/>
  <c r="AG60" i="5"/>
  <c r="AD51" i="5"/>
  <c r="AE51" i="5"/>
  <c r="AF51" i="5"/>
  <c r="AG51" i="5"/>
  <c r="AD43" i="5"/>
  <c r="AE43" i="5"/>
  <c r="AF43" i="5"/>
  <c r="AG43" i="5"/>
  <c r="AD35" i="5"/>
  <c r="AE35" i="5"/>
  <c r="AF35" i="5"/>
  <c r="AG35" i="5"/>
  <c r="AD27" i="5"/>
  <c r="AE27" i="5"/>
  <c r="AF27" i="5"/>
  <c r="AG27" i="5"/>
  <c r="AD19" i="5"/>
  <c r="AE19" i="5"/>
  <c r="AF19" i="5"/>
  <c r="AG19" i="5"/>
  <c r="AD11" i="5"/>
  <c r="AE11" i="5"/>
  <c r="AG11" i="5"/>
  <c r="AF11" i="5"/>
  <c r="AF48" i="5"/>
  <c r="AG48" i="5"/>
  <c r="AD48" i="5"/>
  <c r="AE48" i="5"/>
  <c r="AD8" i="5"/>
  <c r="AG8" i="5"/>
  <c r="AE8" i="5"/>
  <c r="AF8" i="5"/>
  <c r="AG75" i="5"/>
  <c r="AD75" i="5"/>
  <c r="AE75" i="5"/>
  <c r="AF75" i="5"/>
  <c r="AG67" i="5"/>
  <c r="AD67" i="5"/>
  <c r="AE67" i="5"/>
  <c r="AF67" i="5"/>
  <c r="AG59" i="5"/>
  <c r="AD59" i="5"/>
  <c r="AE59" i="5"/>
  <c r="AF59" i="5"/>
  <c r="AF50" i="5"/>
  <c r="AG50" i="5"/>
  <c r="AE50" i="5"/>
  <c r="AD50" i="5"/>
  <c r="AF42" i="5"/>
  <c r="AG42" i="5"/>
  <c r="AE42" i="5"/>
  <c r="AD42" i="5"/>
  <c r="AF34" i="5"/>
  <c r="AG34" i="5"/>
  <c r="AD34" i="5"/>
  <c r="AE34" i="5"/>
  <c r="AG26" i="5"/>
  <c r="AD26" i="5"/>
  <c r="AE26" i="5"/>
  <c r="AF26" i="5"/>
  <c r="AD18" i="5"/>
  <c r="AE18" i="5"/>
  <c r="AG18" i="5"/>
  <c r="AF18" i="5"/>
  <c r="AG10" i="5"/>
  <c r="AF10" i="5"/>
  <c r="AD10" i="5"/>
  <c r="AE10" i="5"/>
  <c r="AD73" i="5"/>
  <c r="AE73" i="5"/>
  <c r="AF73" i="5"/>
  <c r="AG73" i="5"/>
  <c r="AD74" i="5"/>
  <c r="AE74" i="5"/>
  <c r="AF74" i="5"/>
  <c r="AG74" i="5"/>
  <c r="AD66" i="5"/>
  <c r="AE66" i="5"/>
  <c r="AF66" i="5"/>
  <c r="AG66" i="5"/>
  <c r="AD58" i="5"/>
  <c r="AE58" i="5"/>
  <c r="AF58" i="5"/>
  <c r="AG58" i="5"/>
  <c r="AD49" i="5"/>
  <c r="AE49" i="5"/>
  <c r="AF49" i="5"/>
  <c r="AG49" i="5"/>
  <c r="AD41" i="5"/>
  <c r="AE41" i="5"/>
  <c r="AF41" i="5"/>
  <c r="AG41" i="5"/>
  <c r="AD33" i="5"/>
  <c r="AE33" i="5"/>
  <c r="AF33" i="5"/>
  <c r="AG33" i="5"/>
  <c r="AD25" i="5"/>
  <c r="AE25" i="5"/>
  <c r="AF25" i="5"/>
  <c r="AG25" i="5"/>
  <c r="AD17" i="5"/>
  <c r="AE17" i="5"/>
  <c r="AF17" i="5"/>
  <c r="AG17" i="5"/>
  <c r="AD9" i="5"/>
  <c r="AE9" i="5"/>
  <c r="AF9" i="5"/>
  <c r="AG9" i="5"/>
  <c r="Y64" i="5"/>
  <c r="Z64" i="5"/>
  <c r="X64" i="5"/>
  <c r="AA64" i="5"/>
  <c r="AA48" i="5"/>
  <c r="Y48" i="5"/>
  <c r="X48" i="5"/>
  <c r="Z48" i="5"/>
  <c r="AA24" i="5"/>
  <c r="Y24" i="5"/>
  <c r="Z24" i="5"/>
  <c r="X24" i="5"/>
  <c r="AA8" i="5"/>
  <c r="X8" i="5"/>
  <c r="Z8" i="5"/>
  <c r="Y8" i="5"/>
  <c r="X71" i="5"/>
  <c r="AA71" i="5"/>
  <c r="Y71" i="5"/>
  <c r="Z71" i="5"/>
  <c r="X63" i="5"/>
  <c r="AA63" i="5"/>
  <c r="Z63" i="5"/>
  <c r="Y63" i="5"/>
  <c r="AA47" i="5"/>
  <c r="X47" i="5"/>
  <c r="Y47" i="5"/>
  <c r="Z47" i="5"/>
  <c r="AA39" i="5"/>
  <c r="X39" i="5"/>
  <c r="Z39" i="5"/>
  <c r="Y39" i="5"/>
  <c r="Z23" i="5"/>
  <c r="X23" i="5"/>
  <c r="AA23" i="5"/>
  <c r="Y23" i="5"/>
  <c r="X15" i="5"/>
  <c r="AA15" i="5"/>
  <c r="Y15" i="5"/>
  <c r="Z15" i="5"/>
  <c r="Z7" i="5"/>
  <c r="AA7" i="5"/>
  <c r="Y7" i="5"/>
  <c r="X7" i="5"/>
  <c r="Y40" i="5"/>
  <c r="Z40" i="5"/>
  <c r="X40" i="5"/>
  <c r="AA40" i="5"/>
  <c r="AC56" i="5"/>
  <c r="X78" i="5"/>
  <c r="Y78" i="5"/>
  <c r="Z78" i="5"/>
  <c r="AA78" i="5"/>
  <c r="X70" i="5"/>
  <c r="Y70" i="5"/>
  <c r="Z70" i="5"/>
  <c r="AA70" i="5"/>
  <c r="AB62" i="5"/>
  <c r="X62" i="5"/>
  <c r="Y62" i="5"/>
  <c r="Z62" i="5"/>
  <c r="AA62" i="5"/>
  <c r="X54" i="5"/>
  <c r="Y54" i="5"/>
  <c r="Z54" i="5"/>
  <c r="AA54" i="5"/>
  <c r="X46" i="5"/>
  <c r="Y46" i="5"/>
  <c r="Z46" i="5"/>
  <c r="AA46" i="5"/>
  <c r="X38" i="5"/>
  <c r="Y38" i="5"/>
  <c r="Z38" i="5"/>
  <c r="AA38" i="5"/>
  <c r="X30" i="5"/>
  <c r="Y30" i="5"/>
  <c r="Z30" i="5"/>
  <c r="AA30" i="5"/>
  <c r="X22" i="5"/>
  <c r="Y22" i="5"/>
  <c r="Z22" i="5"/>
  <c r="AA22" i="5"/>
  <c r="X14" i="5"/>
  <c r="Y14" i="5"/>
  <c r="Z14" i="5"/>
  <c r="AA14" i="5"/>
  <c r="Y72" i="5"/>
  <c r="AA72" i="5"/>
  <c r="X72" i="5"/>
  <c r="Z72" i="5"/>
  <c r="X79" i="5"/>
  <c r="Z79" i="5"/>
  <c r="Y79" i="5"/>
  <c r="AA79" i="5"/>
  <c r="Z55" i="5"/>
  <c r="X55" i="5"/>
  <c r="Y55" i="5"/>
  <c r="AA55" i="5"/>
  <c r="AB58" i="5"/>
  <c r="AC32" i="5"/>
  <c r="Z77" i="5"/>
  <c r="AA77" i="5"/>
  <c r="X77" i="5"/>
  <c r="Y77" i="5"/>
  <c r="Z69" i="5"/>
  <c r="X69" i="5"/>
  <c r="AA69" i="5"/>
  <c r="Y69" i="5"/>
  <c r="Z61" i="5"/>
  <c r="AA61" i="5"/>
  <c r="X61" i="5"/>
  <c r="Y61" i="5"/>
  <c r="Z53" i="5"/>
  <c r="AA53" i="5"/>
  <c r="Z45" i="5"/>
  <c r="X45" i="5"/>
  <c r="AA45" i="5"/>
  <c r="Y45" i="5"/>
  <c r="Z37" i="5"/>
  <c r="AA37" i="5"/>
  <c r="X37" i="5"/>
  <c r="Y37" i="5"/>
  <c r="Z29" i="5"/>
  <c r="AA29" i="5"/>
  <c r="X29" i="5"/>
  <c r="Y29" i="5"/>
  <c r="Z21" i="5"/>
  <c r="X21" i="5"/>
  <c r="AA21" i="5"/>
  <c r="Y21" i="5"/>
  <c r="Z13" i="5"/>
  <c r="X13" i="5"/>
  <c r="AA13" i="5"/>
  <c r="Y13" i="5"/>
  <c r="AA12" i="5"/>
  <c r="X12" i="5"/>
  <c r="Z12" i="5"/>
  <c r="Y12" i="5"/>
  <c r="Y80" i="5"/>
  <c r="X80" i="5"/>
  <c r="AA80" i="5"/>
  <c r="Z80" i="5"/>
  <c r="Z56" i="5"/>
  <c r="AA56" i="5"/>
  <c r="AA16" i="5"/>
  <c r="X16" i="5"/>
  <c r="Y16" i="5"/>
  <c r="Z16" i="5"/>
  <c r="X76" i="5"/>
  <c r="Z76" i="5"/>
  <c r="Y76" i="5"/>
  <c r="AA76" i="5"/>
  <c r="Z68" i="5"/>
  <c r="X68" i="5"/>
  <c r="Y68" i="5"/>
  <c r="AA68" i="5"/>
  <c r="Z60" i="5"/>
  <c r="AA60" i="5"/>
  <c r="X60" i="5"/>
  <c r="Y60" i="5"/>
  <c r="Y52" i="5"/>
  <c r="Z52" i="5"/>
  <c r="X52" i="5"/>
  <c r="AA52" i="5"/>
  <c r="X44" i="5"/>
  <c r="Z44" i="5"/>
  <c r="AA44" i="5"/>
  <c r="Y44" i="5"/>
  <c r="X36" i="5"/>
  <c r="Z36" i="5"/>
  <c r="Y36" i="5"/>
  <c r="AA36" i="5"/>
  <c r="AA28" i="5"/>
  <c r="Y28" i="5"/>
  <c r="Z28" i="5"/>
  <c r="X28" i="5"/>
  <c r="AA20" i="5"/>
  <c r="Y20" i="5"/>
  <c r="X20" i="5"/>
  <c r="Z20" i="5"/>
  <c r="Y75" i="5"/>
  <c r="AA75" i="5"/>
  <c r="X75" i="5"/>
  <c r="Z75" i="5"/>
  <c r="Z67" i="5"/>
  <c r="X67" i="5"/>
  <c r="AA67" i="5"/>
  <c r="Y67" i="5"/>
  <c r="AA59" i="5"/>
  <c r="X59" i="5"/>
  <c r="Z59" i="5"/>
  <c r="Y59" i="5"/>
  <c r="X51" i="5"/>
  <c r="Z51" i="5"/>
  <c r="AA51" i="5"/>
  <c r="Y51" i="5"/>
  <c r="Z43" i="5"/>
  <c r="AA43" i="5"/>
  <c r="X43" i="5"/>
  <c r="Y43" i="5"/>
  <c r="AA35" i="5"/>
  <c r="X35" i="5"/>
  <c r="Z35" i="5"/>
  <c r="Y35" i="5"/>
  <c r="AA27" i="5"/>
  <c r="X27" i="5"/>
  <c r="Z27" i="5"/>
  <c r="Y27" i="5"/>
  <c r="X19" i="5"/>
  <c r="Z19" i="5"/>
  <c r="Y19" i="5"/>
  <c r="AA19" i="5"/>
  <c r="Z11" i="5"/>
  <c r="AA11" i="5"/>
  <c r="X11" i="5"/>
  <c r="Y11" i="5"/>
  <c r="X58" i="5"/>
  <c r="Y58" i="5"/>
  <c r="Z58" i="5"/>
  <c r="AA58" i="5"/>
  <c r="X50" i="5"/>
  <c r="Y50" i="5"/>
  <c r="Z50" i="5"/>
  <c r="AA50" i="5"/>
  <c r="X42" i="5"/>
  <c r="Y42" i="5"/>
  <c r="Z42" i="5"/>
  <c r="AA42" i="5"/>
  <c r="X34" i="5"/>
  <c r="Y34" i="5"/>
  <c r="Z34" i="5"/>
  <c r="AA34" i="5"/>
  <c r="X26" i="5"/>
  <c r="Y26" i="5"/>
  <c r="Z26" i="5"/>
  <c r="AA26" i="5"/>
  <c r="Z18" i="5"/>
  <c r="AA18" i="5"/>
  <c r="X10" i="5"/>
  <c r="Y10" i="5"/>
  <c r="Z10" i="5"/>
  <c r="AA10" i="5"/>
  <c r="X74" i="5"/>
  <c r="Y74" i="5"/>
  <c r="Z74" i="5"/>
  <c r="AA74" i="5"/>
  <c r="X66" i="5"/>
  <c r="Y66" i="5"/>
  <c r="Z66" i="5"/>
  <c r="AA66" i="5"/>
  <c r="AA6" i="5"/>
  <c r="Z6" i="5"/>
  <c r="Z73" i="5"/>
  <c r="X73" i="5"/>
  <c r="AA73" i="5"/>
  <c r="Y73" i="5"/>
  <c r="Z65" i="5"/>
  <c r="AA65" i="5"/>
  <c r="X65" i="5"/>
  <c r="Y65" i="5"/>
  <c r="Z57" i="5"/>
  <c r="AA57" i="5"/>
  <c r="X57" i="5"/>
  <c r="Y57" i="5"/>
  <c r="Z49" i="5"/>
  <c r="AA49" i="5"/>
  <c r="X49" i="5"/>
  <c r="Y49" i="5"/>
  <c r="Z41" i="5"/>
  <c r="AA41" i="5"/>
  <c r="X41" i="5"/>
  <c r="Y41" i="5"/>
  <c r="Z33" i="5"/>
  <c r="X33" i="5"/>
  <c r="AA33" i="5"/>
  <c r="Y33" i="5"/>
  <c r="Z25" i="5"/>
  <c r="AA25" i="5"/>
  <c r="X25" i="5"/>
  <c r="Y25" i="5"/>
  <c r="Z17" i="5"/>
  <c r="AA17" i="5"/>
  <c r="X17" i="5"/>
  <c r="Y17" i="5"/>
  <c r="Z9" i="5"/>
  <c r="AA9" i="5"/>
  <c r="X9" i="5"/>
  <c r="Y9" i="5"/>
  <c r="K37" i="5"/>
  <c r="L8" i="5"/>
  <c r="AC8" i="5" s="1"/>
  <c r="AC10" i="5"/>
  <c r="D78" i="5"/>
  <c r="D70" i="5"/>
  <c r="D62" i="5"/>
  <c r="D54" i="5"/>
  <c r="D46" i="5"/>
  <c r="D38" i="5"/>
  <c r="D30" i="5"/>
  <c r="D22" i="5"/>
  <c r="D14" i="5"/>
  <c r="D77" i="5"/>
  <c r="D69" i="5"/>
  <c r="D61" i="5"/>
  <c r="D53" i="5"/>
  <c r="D45" i="5"/>
  <c r="D37" i="5"/>
  <c r="D29" i="5"/>
  <c r="D21" i="5"/>
  <c r="D13" i="5"/>
  <c r="AC58" i="5"/>
  <c r="AC34" i="5"/>
  <c r="J13" i="5"/>
  <c r="L13" i="5" s="1"/>
  <c r="J36" i="5"/>
  <c r="D76" i="5"/>
  <c r="D68" i="5"/>
  <c r="D60" i="5"/>
  <c r="D52" i="5"/>
  <c r="D44" i="5"/>
  <c r="D36" i="5"/>
  <c r="D28" i="5"/>
  <c r="D20" i="5"/>
  <c r="D12" i="5"/>
  <c r="AC6" i="5"/>
  <c r="AB57" i="5"/>
  <c r="AB33" i="5"/>
  <c r="AB9" i="5"/>
  <c r="J12" i="5"/>
  <c r="D75" i="5"/>
  <c r="D67" i="5"/>
  <c r="D59" i="5"/>
  <c r="D51" i="5"/>
  <c r="D43" i="5"/>
  <c r="D35" i="5"/>
  <c r="D27" i="5"/>
  <c r="D19" i="5"/>
  <c r="D11" i="5"/>
  <c r="AB8" i="5"/>
  <c r="D74" i="5"/>
  <c r="D66" i="5"/>
  <c r="D58" i="5"/>
  <c r="D50" i="5"/>
  <c r="D42" i="5"/>
  <c r="D34" i="5"/>
  <c r="D26" i="5"/>
  <c r="D18" i="5"/>
  <c r="D10" i="5"/>
  <c r="K12" i="5"/>
  <c r="AB12" i="5" s="1"/>
  <c r="AB56" i="5"/>
  <c r="AB32" i="5"/>
  <c r="AB31" i="5"/>
  <c r="AB7" i="5"/>
  <c r="D73" i="5"/>
  <c r="D65" i="5"/>
  <c r="D57" i="5"/>
  <c r="D49" i="5"/>
  <c r="D41" i="5"/>
  <c r="D33" i="5"/>
  <c r="D25" i="5"/>
  <c r="D17" i="5"/>
  <c r="D9" i="5"/>
  <c r="K11" i="5"/>
  <c r="AB11" i="5" s="1"/>
  <c r="D72" i="5"/>
  <c r="D64" i="5"/>
  <c r="D56" i="5"/>
  <c r="D48" i="5"/>
  <c r="D40" i="5"/>
  <c r="D32" i="5"/>
  <c r="D24" i="5"/>
  <c r="D16" i="5"/>
  <c r="D8" i="5"/>
  <c r="I14" i="5"/>
  <c r="I16" i="5" s="1"/>
  <c r="I18" i="5" s="1"/>
  <c r="D79" i="5"/>
  <c r="D71" i="5"/>
  <c r="D63" i="5"/>
  <c r="D55" i="5"/>
  <c r="D47" i="5"/>
  <c r="D39" i="5"/>
  <c r="D31" i="5"/>
  <c r="D23" i="5"/>
  <c r="D15" i="5"/>
  <c r="D7" i="5"/>
  <c r="AC57" i="5"/>
  <c r="AC33" i="5"/>
  <c r="AC13" i="5"/>
  <c r="AC9" i="5"/>
  <c r="AB61" i="5"/>
  <c r="AB37" i="5"/>
  <c r="AB60" i="5"/>
  <c r="AC59" i="5"/>
  <c r="AC31" i="5"/>
  <c r="AC11" i="5"/>
  <c r="AC7" i="5"/>
  <c r="AB59" i="5"/>
  <c r="AB35" i="5"/>
  <c r="J37" i="5"/>
  <c r="J39" i="5" s="1"/>
  <c r="L35" i="5"/>
  <c r="AC35" i="5" s="1"/>
  <c r="I13" i="5"/>
  <c r="K36" i="5"/>
  <c r="AB36" i="5" s="1"/>
  <c r="L60" i="5"/>
  <c r="AC60" i="5" s="1"/>
  <c r="J62" i="5"/>
  <c r="L63" i="5"/>
  <c r="AC63" i="5" s="1"/>
  <c r="J65" i="5"/>
  <c r="K63" i="5"/>
  <c r="AB63" i="5" s="1"/>
  <c r="I65" i="5"/>
  <c r="K64" i="5"/>
  <c r="AB64" i="5" s="1"/>
  <c r="I66" i="5"/>
  <c r="L61" i="5"/>
  <c r="AC61" i="5" s="1"/>
  <c r="K38" i="5"/>
  <c r="AB38" i="5" s="1"/>
  <c r="I40" i="5"/>
  <c r="K39" i="5"/>
  <c r="AB39" i="5" s="1"/>
  <c r="I41" i="5"/>
  <c r="L5" i="2"/>
  <c r="L4" i="2"/>
  <c r="F5" i="2"/>
  <c r="F4" i="2"/>
  <c r="K14" i="5" l="1"/>
  <c r="AB14" i="5" s="1"/>
  <c r="J15" i="5"/>
  <c r="K16" i="5"/>
  <c r="AB16" i="5" s="1"/>
  <c r="J38" i="5"/>
  <c r="L36" i="5"/>
  <c r="AC36" i="5" s="1"/>
  <c r="L37" i="5"/>
  <c r="AC37" i="5" s="1"/>
  <c r="J14" i="5"/>
  <c r="L12" i="5"/>
  <c r="AC12" i="5" s="1"/>
  <c r="I15" i="5"/>
  <c r="K13" i="5"/>
  <c r="AB13" i="5" s="1"/>
  <c r="J17" i="5"/>
  <c r="L15" i="5"/>
  <c r="AC15" i="5" s="1"/>
  <c r="I68" i="5"/>
  <c r="K66" i="5"/>
  <c r="AB66" i="5" s="1"/>
  <c r="K65" i="5"/>
  <c r="AB65" i="5" s="1"/>
  <c r="I67" i="5"/>
  <c r="J67" i="5"/>
  <c r="L65" i="5"/>
  <c r="AC65" i="5" s="1"/>
  <c r="J64" i="5"/>
  <c r="L62" i="5"/>
  <c r="AC62" i="5" s="1"/>
  <c r="K41" i="5"/>
  <c r="AB41" i="5" s="1"/>
  <c r="I43" i="5"/>
  <c r="J41" i="5"/>
  <c r="L39" i="5"/>
  <c r="AC39" i="5" s="1"/>
  <c r="I42" i="5"/>
  <c r="K40" i="5"/>
  <c r="AB40" i="5" s="1"/>
  <c r="I20" i="5"/>
  <c r="K18" i="5"/>
  <c r="AB18" i="5" s="1"/>
  <c r="V8" i="2"/>
  <c r="V7" i="2"/>
  <c r="W8" i="2"/>
  <c r="W7" i="2"/>
  <c r="W6" i="2"/>
  <c r="V6" i="2"/>
  <c r="AC4" i="2"/>
  <c r="Q34" i="4"/>
  <c r="L14" i="5" l="1"/>
  <c r="AC14" i="5" s="1"/>
  <c r="J16" i="5"/>
  <c r="L38" i="5"/>
  <c r="AC38" i="5" s="1"/>
  <c r="J40" i="5"/>
  <c r="L17" i="5"/>
  <c r="AC17" i="5" s="1"/>
  <c r="J19" i="5"/>
  <c r="I17" i="5"/>
  <c r="K15" i="5"/>
  <c r="AB15" i="5" s="1"/>
  <c r="K67" i="5"/>
  <c r="AB67" i="5" s="1"/>
  <c r="I69" i="5"/>
  <c r="L64" i="5"/>
  <c r="AC64" i="5" s="1"/>
  <c r="J66" i="5"/>
  <c r="L67" i="5"/>
  <c r="AC67" i="5" s="1"/>
  <c r="J69" i="5"/>
  <c r="K68" i="5"/>
  <c r="AB68" i="5" s="1"/>
  <c r="I70" i="5"/>
  <c r="J43" i="5"/>
  <c r="L41" i="5"/>
  <c r="AC41" i="5" s="1"/>
  <c r="K42" i="5"/>
  <c r="AB42" i="5" s="1"/>
  <c r="I44" i="5"/>
  <c r="K43" i="5"/>
  <c r="AB43" i="5" s="1"/>
  <c r="I45" i="5"/>
  <c r="K20" i="5"/>
  <c r="AB20" i="5" s="1"/>
  <c r="I22" i="5"/>
  <c r="K37" i="4"/>
  <c r="K36" i="4"/>
  <c r="K33" i="4"/>
  <c r="K29" i="4"/>
  <c r="K28" i="4"/>
  <c r="K25" i="4"/>
  <c r="K19" i="4"/>
  <c r="K18" i="4"/>
  <c r="K15" i="4"/>
  <c r="K11" i="4"/>
  <c r="K10" i="4"/>
  <c r="K7" i="4"/>
  <c r="Q38" i="4"/>
  <c r="Q35" i="4"/>
  <c r="Q30" i="4"/>
  <c r="Q27" i="4"/>
  <c r="Q12" i="4"/>
  <c r="Q8" i="4"/>
  <c r="Q9" i="4"/>
  <c r="Q20" i="4"/>
  <c r="Q17" i="4"/>
  <c r="Q16" i="4"/>
  <c r="Q26" i="4"/>
  <c r="K32" i="4"/>
  <c r="K14" i="4"/>
  <c r="K24" i="4"/>
  <c r="Q13" i="4"/>
  <c r="Q31" i="4"/>
  <c r="Q5" i="4"/>
  <c r="Q23" i="4"/>
  <c r="N20" i="4"/>
  <c r="N13" i="4"/>
  <c r="N12" i="4"/>
  <c r="H14" i="4"/>
  <c r="H10" i="4"/>
  <c r="H6" i="4"/>
  <c r="H19" i="4"/>
  <c r="H11" i="4"/>
  <c r="H18" i="4"/>
  <c r="H15" i="4"/>
  <c r="H7" i="4"/>
  <c r="L40" i="5" l="1"/>
  <c r="AC40" i="5" s="1"/>
  <c r="J42" i="5"/>
  <c r="L16" i="5"/>
  <c r="AC16" i="5" s="1"/>
  <c r="J18" i="5"/>
  <c r="I19" i="5"/>
  <c r="K17" i="5"/>
  <c r="AB17" i="5" s="1"/>
  <c r="J21" i="5"/>
  <c r="L19" i="5"/>
  <c r="AC19" i="5" s="1"/>
  <c r="I72" i="5"/>
  <c r="K70" i="5"/>
  <c r="AB70" i="5" s="1"/>
  <c r="J71" i="5"/>
  <c r="L69" i="5"/>
  <c r="AC69" i="5" s="1"/>
  <c r="K69" i="5"/>
  <c r="AB69" i="5" s="1"/>
  <c r="I71" i="5"/>
  <c r="J68" i="5"/>
  <c r="L66" i="5"/>
  <c r="AC66" i="5" s="1"/>
  <c r="K45" i="5"/>
  <c r="AB45" i="5" s="1"/>
  <c r="I47" i="5"/>
  <c r="I46" i="5"/>
  <c r="K44" i="5"/>
  <c r="AB44" i="5" s="1"/>
  <c r="J45" i="5"/>
  <c r="L43" i="5"/>
  <c r="AC43" i="5" s="1"/>
  <c r="I24" i="5"/>
  <c r="K22" i="5"/>
  <c r="AB22" i="5" s="1"/>
  <c r="N21" i="4"/>
  <c r="N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5" i="4"/>
  <c r="A105" i="3"/>
  <c r="A104" i="3"/>
  <c r="A103" i="3"/>
  <c r="A102" i="3"/>
  <c r="A101" i="3"/>
  <c r="A100" i="3"/>
  <c r="D88" i="3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83" i="3"/>
  <c r="D82" i="3" s="1"/>
  <c r="D81" i="3" s="1"/>
  <c r="D80" i="3" s="1"/>
  <c r="D79" i="3" s="1"/>
  <c r="D78" i="3" s="1"/>
  <c r="D77" i="3" s="1"/>
  <c r="D76" i="3" s="1"/>
  <c r="D75" i="3" s="1"/>
  <c r="D74" i="3" s="1"/>
  <c r="D63" i="3"/>
  <c r="D64" i="3"/>
  <c r="D65" i="3" s="1"/>
  <c r="D66" i="3" s="1"/>
  <c r="D67" i="3" s="1"/>
  <c r="D68" i="3" s="1"/>
  <c r="D69" i="3" s="1"/>
  <c r="D70" i="3" s="1"/>
  <c r="D71" i="3" s="1"/>
  <c r="D72" i="3" s="1"/>
  <c r="D58" i="3"/>
  <c r="D57" i="3" s="1"/>
  <c r="D56" i="3" s="1"/>
  <c r="D55" i="3" s="1"/>
  <c r="D54" i="3" s="1"/>
  <c r="D53" i="3" s="1"/>
  <c r="D52" i="3" s="1"/>
  <c r="D51" i="3" s="1"/>
  <c r="D50" i="3" s="1"/>
  <c r="D49" i="3" s="1"/>
  <c r="D38" i="3"/>
  <c r="D39" i="3"/>
  <c r="D40" i="3" s="1"/>
  <c r="D41" i="3" s="1"/>
  <c r="D42" i="3" s="1"/>
  <c r="D43" i="3" s="1"/>
  <c r="D44" i="3" s="1"/>
  <c r="D45" i="3" s="1"/>
  <c r="D46" i="3" s="1"/>
  <c r="D47" i="3" s="1"/>
  <c r="D32" i="3"/>
  <c r="D31" i="3" s="1"/>
  <c r="D30" i="3" s="1"/>
  <c r="D29" i="3" s="1"/>
  <c r="D28" i="3" s="1"/>
  <c r="D27" i="3" s="1"/>
  <c r="D26" i="3" s="1"/>
  <c r="D25" i="3" s="1"/>
  <c r="D33" i="3"/>
  <c r="D87" i="3"/>
  <c r="D86" i="3"/>
  <c r="D85" i="3"/>
  <c r="D84" i="3" s="1"/>
  <c r="D62" i="3"/>
  <c r="D61" i="3"/>
  <c r="D60" i="3"/>
  <c r="D59" i="3"/>
  <c r="D37" i="3"/>
  <c r="D36" i="3"/>
  <c r="D34" i="3"/>
  <c r="D35" i="3"/>
  <c r="D12" i="3"/>
  <c r="D11" i="3" s="1"/>
  <c r="D10" i="3" s="1"/>
  <c r="D9" i="3" s="1"/>
  <c r="D8" i="3" s="1"/>
  <c r="D7" i="3" s="1"/>
  <c r="D6" i="3" s="1"/>
  <c r="D13" i="3"/>
  <c r="D15" i="3"/>
  <c r="D16" i="3" s="1"/>
  <c r="D17" i="3" s="1"/>
  <c r="D18" i="3" s="1"/>
  <c r="D19" i="3" s="1"/>
  <c r="D20" i="3" s="1"/>
  <c r="D21" i="3" s="1"/>
  <c r="D22" i="3" s="1"/>
  <c r="D23" i="3" s="1"/>
  <c r="C85" i="3"/>
  <c r="C60" i="3"/>
  <c r="C35" i="3"/>
  <c r="C14" i="3"/>
  <c r="D14" i="3" s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3" i="3"/>
  <c r="J20" i="5" l="1"/>
  <c r="L18" i="5"/>
  <c r="AC18" i="5" s="1"/>
  <c r="L42" i="5"/>
  <c r="AC42" i="5" s="1"/>
  <c r="J44" i="5"/>
  <c r="K19" i="5"/>
  <c r="AB19" i="5" s="1"/>
  <c r="I21" i="5"/>
  <c r="J23" i="5"/>
  <c r="L21" i="5"/>
  <c r="AC21" i="5" s="1"/>
  <c r="J73" i="5"/>
  <c r="L71" i="5"/>
  <c r="AC71" i="5" s="1"/>
  <c r="L68" i="5"/>
  <c r="AC68" i="5" s="1"/>
  <c r="J70" i="5"/>
  <c r="K71" i="5"/>
  <c r="AB71" i="5" s="1"/>
  <c r="I73" i="5"/>
  <c r="I74" i="5"/>
  <c r="K72" i="5"/>
  <c r="AB72" i="5" s="1"/>
  <c r="J47" i="5"/>
  <c r="L45" i="5"/>
  <c r="AC45" i="5" s="1"/>
  <c r="K46" i="5"/>
  <c r="AB46" i="5" s="1"/>
  <c r="I48" i="5"/>
  <c r="K47" i="5"/>
  <c r="AB47" i="5" s="1"/>
  <c r="I49" i="5"/>
  <c r="K24" i="5"/>
  <c r="AB24" i="5" s="1"/>
  <c r="I26" i="5"/>
  <c r="X5" i="2"/>
  <c r="X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4" i="2"/>
  <c r="J46" i="5" l="1"/>
  <c r="L44" i="5"/>
  <c r="AC44" i="5" s="1"/>
  <c r="J22" i="5"/>
  <c r="L20" i="5"/>
  <c r="AC20" i="5" s="1"/>
  <c r="I23" i="5"/>
  <c r="K21" i="5"/>
  <c r="AB21" i="5" s="1"/>
  <c r="J25" i="5"/>
  <c r="L23" i="5"/>
  <c r="AC23" i="5" s="1"/>
  <c r="I76" i="5"/>
  <c r="K74" i="5"/>
  <c r="AB74" i="5" s="1"/>
  <c r="K73" i="5"/>
  <c r="AB73" i="5" s="1"/>
  <c r="I75" i="5"/>
  <c r="J72" i="5"/>
  <c r="L70" i="5"/>
  <c r="AC70" i="5" s="1"/>
  <c r="J75" i="5"/>
  <c r="L73" i="5"/>
  <c r="AC73" i="5" s="1"/>
  <c r="K49" i="5"/>
  <c r="AB49" i="5" s="1"/>
  <c r="I51" i="5"/>
  <c r="I50" i="5"/>
  <c r="K48" i="5"/>
  <c r="AB48" i="5" s="1"/>
  <c r="J49" i="5"/>
  <c r="L47" i="5"/>
  <c r="AC47" i="5" s="1"/>
  <c r="I28" i="5"/>
  <c r="K26" i="5"/>
  <c r="AB26" i="5" s="1"/>
  <c r="Z5" i="2"/>
  <c r="Z6" i="2"/>
  <c r="AA6" i="2" s="1"/>
  <c r="AC6" i="2" s="1"/>
  <c r="C6" i="2" s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AA5" i="2"/>
  <c r="AC5" i="2" s="1"/>
  <c r="C5" i="2" s="1"/>
  <c r="AA7" i="2"/>
  <c r="AC7" i="2" s="1"/>
  <c r="C7" i="2" s="1"/>
  <c r="Y8" i="2"/>
  <c r="Y7" i="2"/>
  <c r="Y6" i="2"/>
  <c r="X6" i="2" s="1"/>
  <c r="Z4" i="2"/>
  <c r="AA4" i="2" s="1"/>
  <c r="C4" i="2" s="1"/>
  <c r="L22" i="5" l="1"/>
  <c r="AC22" i="5" s="1"/>
  <c r="J24" i="5"/>
  <c r="J48" i="5"/>
  <c r="L46" i="5"/>
  <c r="AC46" i="5" s="1"/>
  <c r="J27" i="5"/>
  <c r="L25" i="5"/>
  <c r="AC25" i="5" s="1"/>
  <c r="I25" i="5"/>
  <c r="K23" i="5"/>
  <c r="AB23" i="5" s="1"/>
  <c r="K75" i="5"/>
  <c r="AB75" i="5" s="1"/>
  <c r="I77" i="5"/>
  <c r="L75" i="5"/>
  <c r="AC75" i="5" s="1"/>
  <c r="J77" i="5"/>
  <c r="L72" i="5"/>
  <c r="AC72" i="5" s="1"/>
  <c r="J74" i="5"/>
  <c r="K76" i="5"/>
  <c r="AB76" i="5" s="1"/>
  <c r="I78" i="5"/>
  <c r="K50" i="5"/>
  <c r="AB50" i="5" s="1"/>
  <c r="I52" i="5"/>
  <c r="J51" i="5"/>
  <c r="L49" i="5"/>
  <c r="AC49" i="5" s="1"/>
  <c r="I53" i="5"/>
  <c r="K51" i="5"/>
  <c r="AB51" i="5" s="1"/>
  <c r="K28" i="5"/>
  <c r="AB28" i="5" s="1"/>
  <c r="I30" i="5"/>
  <c r="AA8" i="2"/>
  <c r="AC8" i="2" s="1"/>
  <c r="C8" i="2" s="1"/>
  <c r="AA10" i="2"/>
  <c r="AC10" i="2" s="1"/>
  <c r="C10" i="2" s="1"/>
  <c r="Y9" i="2"/>
  <c r="X7" i="2"/>
  <c r="Y10" i="2"/>
  <c r="X8" i="2"/>
  <c r="S22" i="2"/>
  <c r="S18" i="2"/>
  <c r="S14" i="2"/>
  <c r="S10" i="2"/>
  <c r="B2" i="2"/>
  <c r="S25" i="2" s="1"/>
  <c r="J7" i="2"/>
  <c r="D7" i="2"/>
  <c r="L6" i="2"/>
  <c r="L7" i="2" s="1"/>
  <c r="J6" i="2"/>
  <c r="E6" i="2"/>
  <c r="E5" i="2"/>
  <c r="J9" i="2" s="1"/>
  <c r="E4" i="2"/>
  <c r="E9" i="2" s="1"/>
  <c r="D4" i="2"/>
  <c r="J50" i="5" l="1"/>
  <c r="L48" i="5"/>
  <c r="AC48" i="5" s="1"/>
  <c r="L24" i="5"/>
  <c r="AC24" i="5" s="1"/>
  <c r="J26" i="5"/>
  <c r="L27" i="5"/>
  <c r="AC27" i="5" s="1"/>
  <c r="J29" i="5"/>
  <c r="L29" i="5" s="1"/>
  <c r="AC29" i="5" s="1"/>
  <c r="K30" i="5"/>
  <c r="AB30" i="5" s="1"/>
  <c r="K25" i="5"/>
  <c r="AB25" i="5" s="1"/>
  <c r="I27" i="5"/>
  <c r="I80" i="5"/>
  <c r="K78" i="5"/>
  <c r="AB78" i="5" s="1"/>
  <c r="J76" i="5"/>
  <c r="L74" i="5"/>
  <c r="AC74" i="5" s="1"/>
  <c r="J79" i="5"/>
  <c r="L79" i="5" s="1"/>
  <c r="AC79" i="5" s="1"/>
  <c r="L77" i="5"/>
  <c r="AC77" i="5" s="1"/>
  <c r="K77" i="5"/>
  <c r="AB77" i="5" s="1"/>
  <c r="I79" i="5"/>
  <c r="K53" i="5"/>
  <c r="AB53" i="5" s="1"/>
  <c r="I55" i="5"/>
  <c r="J53" i="5"/>
  <c r="L51" i="5"/>
  <c r="AC51" i="5" s="1"/>
  <c r="I54" i="5"/>
  <c r="K52" i="5"/>
  <c r="AB52" i="5" s="1"/>
  <c r="U10" i="2"/>
  <c r="U14" i="2"/>
  <c r="U22" i="2"/>
  <c r="U26" i="2"/>
  <c r="E8" i="2"/>
  <c r="S7" i="2"/>
  <c r="S11" i="2"/>
  <c r="S15" i="2"/>
  <c r="S19" i="2"/>
  <c r="S23" i="2"/>
  <c r="S27" i="2"/>
  <c r="U6" i="2"/>
  <c r="U18" i="2"/>
  <c r="J8" i="2"/>
  <c r="U15" i="2"/>
  <c r="U19" i="2"/>
  <c r="U23" i="2"/>
  <c r="U27" i="2"/>
  <c r="Y11" i="2"/>
  <c r="X9" i="2"/>
  <c r="AA9" i="2"/>
  <c r="AC9" i="2" s="1"/>
  <c r="C9" i="2" s="1"/>
  <c r="S26" i="2"/>
  <c r="U7" i="2"/>
  <c r="L8" i="2"/>
  <c r="S12" i="2"/>
  <c r="S16" i="2"/>
  <c r="S24" i="2"/>
  <c r="S28" i="2"/>
  <c r="D9" i="2"/>
  <c r="U12" i="2"/>
  <c r="U16" i="2"/>
  <c r="U20" i="2"/>
  <c r="U24" i="2"/>
  <c r="U28" i="2"/>
  <c r="E7" i="2"/>
  <c r="U8" i="2"/>
  <c r="S9" i="2"/>
  <c r="S13" i="2"/>
  <c r="S17" i="2"/>
  <c r="S21" i="2"/>
  <c r="L9" i="2"/>
  <c r="Q26" i="2"/>
  <c r="Q18" i="2"/>
  <c r="Q10" i="2"/>
  <c r="O26" i="2"/>
  <c r="O18" i="2"/>
  <c r="O10" i="2"/>
  <c r="Q9" i="2"/>
  <c r="O9" i="2"/>
  <c r="O21" i="2"/>
  <c r="Q25" i="2"/>
  <c r="Q5" i="2"/>
  <c r="Q24" i="2"/>
  <c r="Q16" i="2"/>
  <c r="Q8" i="2"/>
  <c r="O24" i="2"/>
  <c r="O16" i="2"/>
  <c r="O8" i="2"/>
  <c r="O7" i="2"/>
  <c r="Q14" i="2"/>
  <c r="O22" i="2"/>
  <c r="O6" i="2"/>
  <c r="O13" i="2"/>
  <c r="Q23" i="2"/>
  <c r="Q15" i="2"/>
  <c r="Q7" i="2"/>
  <c r="O23" i="2"/>
  <c r="O15" i="2"/>
  <c r="Q22" i="2"/>
  <c r="Q6" i="2"/>
  <c r="O14" i="2"/>
  <c r="O5" i="2"/>
  <c r="Q28" i="2"/>
  <c r="Q20" i="2"/>
  <c r="Q12" i="2"/>
  <c r="O28" i="2"/>
  <c r="O20" i="2"/>
  <c r="O12" i="2"/>
  <c r="S6" i="2"/>
  <c r="Q17" i="2"/>
  <c r="O17" i="2"/>
  <c r="Q13" i="2"/>
  <c r="E18" i="2"/>
  <c r="Q27" i="2"/>
  <c r="Q19" i="2"/>
  <c r="Q11" i="2"/>
  <c r="O27" i="2"/>
  <c r="O19" i="2"/>
  <c r="O11" i="2"/>
  <c r="O25" i="2"/>
  <c r="Q21" i="2"/>
  <c r="U11" i="2"/>
  <c r="S8" i="2"/>
  <c r="S20" i="2"/>
  <c r="D26" i="2"/>
  <c r="D22" i="2"/>
  <c r="F9" i="2"/>
  <c r="H7" i="2"/>
  <c r="D14" i="2"/>
  <c r="D20" i="2"/>
  <c r="D13" i="2"/>
  <c r="F8" i="2"/>
  <c r="D28" i="2"/>
  <c r="D12" i="2"/>
  <c r="D6" i="2"/>
  <c r="D27" i="2"/>
  <c r="D10" i="2"/>
  <c r="D19" i="2"/>
  <c r="D11" i="2"/>
  <c r="F7" i="2"/>
  <c r="D18" i="2"/>
  <c r="F6" i="2"/>
  <c r="D17" i="2"/>
  <c r="D5" i="2"/>
  <c r="D25" i="2"/>
  <c r="D16" i="2"/>
  <c r="D24" i="2"/>
  <c r="D23" i="2"/>
  <c r="D15" i="2"/>
  <c r="H8" i="2"/>
  <c r="D21" i="2"/>
  <c r="H6" i="2"/>
  <c r="E13" i="2"/>
  <c r="E16" i="2"/>
  <c r="E11" i="2"/>
  <c r="E25" i="2"/>
  <c r="E28" i="2"/>
  <c r="E12" i="2"/>
  <c r="E21" i="2"/>
  <c r="E24" i="2"/>
  <c r="E23" i="2"/>
  <c r="E26" i="2"/>
  <c r="E10" i="2"/>
  <c r="E22" i="2"/>
  <c r="E17" i="2"/>
  <c r="E20" i="2"/>
  <c r="E27" i="2"/>
  <c r="E14" i="2"/>
  <c r="E19" i="2"/>
  <c r="E15" i="2"/>
  <c r="U9" i="2"/>
  <c r="U13" i="2"/>
  <c r="U17" i="2"/>
  <c r="U21" i="2"/>
  <c r="U25" i="2"/>
  <c r="Y12" i="2"/>
  <c r="X10" i="2"/>
  <c r="L26" i="5" l="1"/>
  <c r="AC26" i="5" s="1"/>
  <c r="J28" i="5"/>
  <c r="L50" i="5"/>
  <c r="AC50" i="5" s="1"/>
  <c r="J52" i="5"/>
  <c r="K80" i="5"/>
  <c r="AB80" i="5" s="1"/>
  <c r="K79" i="5"/>
  <c r="AB79" i="5" s="1"/>
  <c r="K27" i="5"/>
  <c r="AB27" i="5" s="1"/>
  <c r="I29" i="5"/>
  <c r="K54" i="5"/>
  <c r="AB54" i="5" s="1"/>
  <c r="K55" i="5"/>
  <c r="AB55" i="5" s="1"/>
  <c r="L76" i="5"/>
  <c r="AC76" i="5" s="1"/>
  <c r="J78" i="5"/>
  <c r="J55" i="5"/>
  <c r="L55" i="5" s="1"/>
  <c r="AC55" i="5" s="1"/>
  <c r="L53" i="5"/>
  <c r="AC53" i="5" s="1"/>
  <c r="Y13" i="2"/>
  <c r="X11" i="2"/>
  <c r="AA11" i="2"/>
  <c r="AC11" i="2" s="1"/>
  <c r="C11" i="2" s="1"/>
  <c r="Y14" i="2"/>
  <c r="X12" i="2"/>
  <c r="AA12" i="2"/>
  <c r="AC12" i="2" s="1"/>
  <c r="C12" i="2" s="1"/>
  <c r="H9" i="2"/>
  <c r="D8" i="2"/>
  <c r="J54" i="5" l="1"/>
  <c r="L54" i="5" s="1"/>
  <c r="AC54" i="5" s="1"/>
  <c r="L52" i="5"/>
  <c r="AC52" i="5" s="1"/>
  <c r="J30" i="5"/>
  <c r="L30" i="5" s="1"/>
  <c r="AC30" i="5" s="1"/>
  <c r="L28" i="5"/>
  <c r="AC28" i="5" s="1"/>
  <c r="K29" i="5"/>
  <c r="AB29" i="5" s="1"/>
  <c r="J80" i="5"/>
  <c r="L80" i="5" s="1"/>
  <c r="AC80" i="5" s="1"/>
  <c r="L78" i="5"/>
  <c r="AC78" i="5" s="1"/>
  <c r="Y16" i="2"/>
  <c r="X14" i="2"/>
  <c r="AA14" i="2"/>
  <c r="AC14" i="2" s="1"/>
  <c r="C14" i="2" s="1"/>
  <c r="Y15" i="2"/>
  <c r="X13" i="2"/>
  <c r="AA13" i="2"/>
  <c r="AC13" i="2" s="1"/>
  <c r="C13" i="2" s="1"/>
  <c r="Y17" i="2" l="1"/>
  <c r="X15" i="2"/>
  <c r="AA15" i="2"/>
  <c r="AC15" i="2" s="1"/>
  <c r="C15" i="2" s="1"/>
  <c r="Y18" i="2"/>
  <c r="X16" i="2"/>
  <c r="AA16" i="2"/>
  <c r="AC16" i="2" s="1"/>
  <c r="C16" i="2" s="1"/>
  <c r="Y20" i="2" l="1"/>
  <c r="X18" i="2"/>
  <c r="AA18" i="2"/>
  <c r="AC18" i="2" s="1"/>
  <c r="C18" i="2" s="1"/>
  <c r="Y19" i="2"/>
  <c r="X17" i="2"/>
  <c r="AA17" i="2"/>
  <c r="AC17" i="2" s="1"/>
  <c r="C17" i="2" s="1"/>
  <c r="Y21" i="2" l="1"/>
  <c r="X19" i="2"/>
  <c r="AA19" i="2"/>
  <c r="AC19" i="2" s="1"/>
  <c r="C19" i="2" s="1"/>
  <c r="Y22" i="2"/>
  <c r="X20" i="2"/>
  <c r="AA20" i="2"/>
  <c r="AC20" i="2" s="1"/>
  <c r="C20" i="2" s="1"/>
  <c r="Y24" i="2" l="1"/>
  <c r="X22" i="2"/>
  <c r="AA22" i="2"/>
  <c r="AC22" i="2" s="1"/>
  <c r="C22" i="2" s="1"/>
  <c r="Y23" i="2"/>
  <c r="X21" i="2"/>
  <c r="AA21" i="2"/>
  <c r="AC21" i="2" s="1"/>
  <c r="C21" i="2" s="1"/>
  <c r="Y26" i="2" l="1"/>
  <c r="X24" i="2"/>
  <c r="AA24" i="2"/>
  <c r="AC24" i="2" s="1"/>
  <c r="C24" i="2" s="1"/>
  <c r="Y25" i="2"/>
  <c r="X23" i="2"/>
  <c r="AA23" i="2"/>
  <c r="AC23" i="2" s="1"/>
  <c r="C23" i="2" s="1"/>
  <c r="Y28" i="2" l="1"/>
  <c r="X26" i="2"/>
  <c r="AA26" i="2"/>
  <c r="AC26" i="2" s="1"/>
  <c r="C26" i="2" s="1"/>
  <c r="Y27" i="2"/>
  <c r="X25" i="2"/>
  <c r="AA25" i="2"/>
  <c r="AC25" i="2" s="1"/>
  <c r="C25" i="2" s="1"/>
  <c r="X28" i="2" l="1"/>
  <c r="AA28" i="2"/>
  <c r="AC28" i="2" s="1"/>
  <c r="C28" i="2" s="1"/>
  <c r="X27" i="2"/>
  <c r="AA27" i="2"/>
  <c r="AC27" i="2" s="1"/>
  <c r="C27" i="2" s="1"/>
</calcChain>
</file>

<file path=xl/sharedStrings.xml><?xml version="1.0" encoding="utf-8"?>
<sst xmlns="http://schemas.openxmlformats.org/spreadsheetml/2006/main" count="580" uniqueCount="305">
  <si>
    <t>Northing</t>
  </si>
  <si>
    <t>Easting</t>
  </si>
  <si>
    <t>Elevation</t>
  </si>
  <si>
    <t>WP1</t>
  </si>
  <si>
    <t>WP2</t>
  </si>
  <si>
    <t>WP3</t>
  </si>
  <si>
    <t>WP4</t>
  </si>
  <si>
    <t>WP5</t>
  </si>
  <si>
    <t>WP6</t>
  </si>
  <si>
    <t>Abut1</t>
  </si>
  <si>
    <t>Pier1</t>
  </si>
  <si>
    <t>Pier2</t>
  </si>
  <si>
    <t>Pier3</t>
  </si>
  <si>
    <t>Pier4</t>
  </si>
  <si>
    <t>Abut2</t>
  </si>
  <si>
    <t>Location</t>
  </si>
  <si>
    <t>WP</t>
  </si>
  <si>
    <t>TENDON NUMBER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</si>
  <si>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</si>
  <si>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</si>
  <si>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</si>
  <si>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</si>
  <si>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</si>
  <si>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</si>
  <si>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</si>
  <si>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</si>
  <si>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</si>
  <si>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</si>
  <si>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</si>
  <si>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</si>
  <si>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</si>
  <si>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</si>
  <si>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</si>
  <si>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</si>
  <si>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</si>
  <si>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</si>
  <si>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</si>
  <si>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</si>
  <si>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</si>
  <si>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</si>
  <si>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</si>
  <si>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</si>
  <si>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</si>
  <si>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Main Arc</t>
  </si>
  <si>
    <t>Down Station Plan Distance</t>
  </si>
  <si>
    <t xml:space="preserve">Up Station Plan Distance </t>
  </si>
  <si>
    <t>Down Station Plan  Tangent</t>
  </si>
  <si>
    <t>Down Station Transverse Offset</t>
  </si>
  <si>
    <t>UP Station Transverse Offset</t>
  </si>
  <si>
    <t>Up Station Plan Distance</t>
  </si>
  <si>
    <t>Up Station Plan  Tangent</t>
  </si>
  <si>
    <t>Down Station Vert</t>
  </si>
  <si>
    <t>Anchor Vert Offset</t>
  </si>
  <si>
    <t>Distance from Anchor Head to End of Straight</t>
  </si>
  <si>
    <t>Vert Offset at End of First Straight</t>
  </si>
  <si>
    <t>Distance from Anchor Head to End of Vertical Arc</t>
  </si>
  <si>
    <t>Up Station Vert</t>
  </si>
  <si>
    <t>Transverse Offset (from L201)
Looking North 
East = +ve</t>
  </si>
  <si>
    <t>Transverse Offset (From bridge CL)
Looking North
East = +ve</t>
  </si>
  <si>
    <t>Relitive Vert Offset</t>
  </si>
  <si>
    <t>Segment</t>
  </si>
  <si>
    <t>1-12D</t>
  </si>
  <si>
    <t>1-11D</t>
  </si>
  <si>
    <t>1-9D</t>
  </si>
  <si>
    <t>1-8D</t>
  </si>
  <si>
    <t>1-7D</t>
  </si>
  <si>
    <t>1-6D</t>
  </si>
  <si>
    <t>1-5D</t>
  </si>
  <si>
    <t>1-4D</t>
  </si>
  <si>
    <t>1-3D</t>
  </si>
  <si>
    <t>1-2D</t>
  </si>
  <si>
    <t>1-PTD</t>
  </si>
  <si>
    <t>1-PTU</t>
  </si>
  <si>
    <t>1-1U</t>
  </si>
  <si>
    <t>1-2U</t>
  </si>
  <si>
    <t>1-3U</t>
  </si>
  <si>
    <t>1-4U</t>
  </si>
  <si>
    <t>1-5U</t>
  </si>
  <si>
    <t>1-6U</t>
  </si>
  <si>
    <t>1-7U</t>
  </si>
  <si>
    <t>1-8U</t>
  </si>
  <si>
    <t>1-Closure</t>
  </si>
  <si>
    <t>2-11D</t>
  </si>
  <si>
    <t>2-10D</t>
  </si>
  <si>
    <t>2-9D</t>
  </si>
  <si>
    <t>2-8D</t>
  </si>
  <si>
    <t>2-7D</t>
  </si>
  <si>
    <t>2-6D</t>
  </si>
  <si>
    <t>2-5D</t>
  </si>
  <si>
    <t>2-4D</t>
  </si>
  <si>
    <t>2-3D</t>
  </si>
  <si>
    <t>2-2D</t>
  </si>
  <si>
    <t>2-PTD</t>
  </si>
  <si>
    <t>2-PTU</t>
  </si>
  <si>
    <t>2-1U</t>
  </si>
  <si>
    <t>2-2U</t>
  </si>
  <si>
    <t>2-3U</t>
  </si>
  <si>
    <t>2-4U</t>
  </si>
  <si>
    <t>2-5U</t>
  </si>
  <si>
    <t>2-6U</t>
  </si>
  <si>
    <t>2-7U</t>
  </si>
  <si>
    <t>2-8U</t>
  </si>
  <si>
    <t>2-9U</t>
  </si>
  <si>
    <t>2-10U</t>
  </si>
  <si>
    <t>2-11U</t>
  </si>
  <si>
    <t>2-Closure</t>
  </si>
  <si>
    <t>3-12D</t>
  </si>
  <si>
    <t>3-11D</t>
  </si>
  <si>
    <t>3-10D</t>
  </si>
  <si>
    <t>3-9D</t>
  </si>
  <si>
    <t>3-8D</t>
  </si>
  <si>
    <t>3-7D</t>
  </si>
  <si>
    <t>3-6D</t>
  </si>
  <si>
    <t>3-5D</t>
  </si>
  <si>
    <t>3-4D</t>
  </si>
  <si>
    <t>3-3D</t>
  </si>
  <si>
    <t>3-2D</t>
  </si>
  <si>
    <t>3-PTD</t>
  </si>
  <si>
    <t>3-PTU</t>
  </si>
  <si>
    <t>3-1U</t>
  </si>
  <si>
    <t>3-2U</t>
  </si>
  <si>
    <t>3-3U</t>
  </si>
  <si>
    <t>3-4U</t>
  </si>
  <si>
    <t>3-5U</t>
  </si>
  <si>
    <t>3-6U</t>
  </si>
  <si>
    <t>3-7U</t>
  </si>
  <si>
    <t>3-8U</t>
  </si>
  <si>
    <t>3-9U</t>
  </si>
  <si>
    <t>3-10U</t>
  </si>
  <si>
    <t>3-11U</t>
  </si>
  <si>
    <t>3-Closure</t>
  </si>
  <si>
    <t>4-12D</t>
  </si>
  <si>
    <t>4-11D</t>
  </si>
  <si>
    <t>4-10D</t>
  </si>
  <si>
    <t>4-9D</t>
  </si>
  <si>
    <t>4-8D</t>
  </si>
  <si>
    <t>4-7D</t>
  </si>
  <si>
    <t>4-6D</t>
  </si>
  <si>
    <t>4-5D</t>
  </si>
  <si>
    <t>4-4D</t>
  </si>
  <si>
    <t>4-3D</t>
  </si>
  <si>
    <t>4-2D</t>
  </si>
  <si>
    <t>4-1U</t>
  </si>
  <si>
    <t>4-PTD</t>
  </si>
  <si>
    <t>4-PTU</t>
  </si>
  <si>
    <t>4-2U</t>
  </si>
  <si>
    <t>4-3U</t>
  </si>
  <si>
    <t>4-4U</t>
  </si>
  <si>
    <t>4-5U</t>
  </si>
  <si>
    <t>4-6U</t>
  </si>
  <si>
    <t>4-7U</t>
  </si>
  <si>
    <t>4-8U</t>
  </si>
  <si>
    <t>4-9U</t>
  </si>
  <si>
    <t>4-10U</t>
  </si>
  <si>
    <t>4-11U</t>
  </si>
  <si>
    <t>4-12U</t>
  </si>
  <si>
    <t>Pier</t>
  </si>
  <si>
    <t>Segment Length</t>
  </si>
  <si>
    <t>Segment Distance from Pier CL to Bulkhead Face</t>
  </si>
  <si>
    <t>0-Closure</t>
  </si>
  <si>
    <t>4-Closure</t>
  </si>
  <si>
    <t>4-14U</t>
  </si>
  <si>
    <t>4-15U</t>
  </si>
  <si>
    <t>4-16U</t>
  </si>
  <si>
    <t>4-17U</t>
  </si>
  <si>
    <t>4-18U</t>
  </si>
  <si>
    <t>NA</t>
  </si>
  <si>
    <t>Tendon</t>
  </si>
  <si>
    <t>i</t>
  </si>
  <si>
    <t>j</t>
  </si>
  <si>
    <t>k</t>
  </si>
  <si>
    <t>F1-1</t>
  </si>
  <si>
    <t>F1-2</t>
  </si>
  <si>
    <t>F1-3</t>
  </si>
  <si>
    <t>F1-4</t>
  </si>
  <si>
    <t>F1-5</t>
  </si>
  <si>
    <t>F1-6</t>
  </si>
  <si>
    <t>F1-7</t>
  </si>
  <si>
    <t>F1-8</t>
  </si>
  <si>
    <t>F2-1</t>
  </si>
  <si>
    <t>F2-2</t>
  </si>
  <si>
    <t>F2-3</t>
  </si>
  <si>
    <t>F2-4</t>
  </si>
  <si>
    <t>F2-5</t>
  </si>
  <si>
    <t>F2-6</t>
  </si>
  <si>
    <t>F2-7</t>
  </si>
  <si>
    <t>F2-8</t>
  </si>
  <si>
    <t>F3-1</t>
  </si>
  <si>
    <t>F3-8</t>
  </si>
  <si>
    <t>Upstation Direction Tendons</t>
  </si>
  <si>
    <t>Anchor Angle (Downstation of Pier)</t>
  </si>
  <si>
    <t>Tendon Lable</t>
  </si>
  <si>
    <t>VN</t>
  </si>
  <si>
    <t>VP</t>
  </si>
  <si>
    <t>Tendon Angle upstation of Pier 1</t>
  </si>
  <si>
    <t>Tendon Angle upstation of Pier 2</t>
  </si>
  <si>
    <t>Tendon Angle upstation of Pier 4</t>
  </si>
  <si>
    <t>Tendon Angle upstation of Pier 3</t>
  </si>
  <si>
    <t>VK</t>
  </si>
  <si>
    <t>VL</t>
  </si>
  <si>
    <t>West Web</t>
  </si>
  <si>
    <t>Web</t>
  </si>
  <si>
    <t>West</t>
  </si>
  <si>
    <t>East</t>
  </si>
  <si>
    <t>Center West</t>
  </si>
  <si>
    <t>Center East</t>
  </si>
  <si>
    <t>-</t>
  </si>
  <si>
    <t>HN</t>
  </si>
  <si>
    <t>HP</t>
  </si>
  <si>
    <t>WEST</t>
  </si>
  <si>
    <t>HL</t>
  </si>
  <si>
    <t>HK</t>
  </si>
  <si>
    <t>Start of Tendon, Down Station</t>
  </si>
  <si>
    <t>End of Tendon Up Station</t>
  </si>
  <si>
    <t>Offset from web CL end of straight south (mm)</t>
  </si>
  <si>
    <t>Offset from web CL end of straight north (mm)</t>
  </si>
  <si>
    <t>Segment from joint to between arcs - south (mm)</t>
  </si>
  <si>
    <t>Segment from joint to between arcs - north (mm)</t>
  </si>
  <si>
    <t>Angled offset from web CL (Sht 59) (mm)</t>
  </si>
  <si>
    <t>Anchor end offset from CL web (mm)</t>
  </si>
  <si>
    <t>East Web</t>
  </si>
  <si>
    <t>Central Web</t>
  </si>
  <si>
    <t>Offset from Web CL to Tendon at Pier CL</t>
  </si>
  <si>
    <t>Offset from Web CL to Tendon at Anchor Head</t>
  </si>
  <si>
    <t>Pia's Column Naming</t>
  </si>
  <si>
    <t>Pier Table Length Down Station at L201</t>
  </si>
  <si>
    <t>Pier Table Length Up Station at L201</t>
  </si>
  <si>
    <t>Number of Segments Past Pier Table to Anchor Head - Down Station</t>
  </si>
  <si>
    <t>Number of Segments Past Pier Table to Anchor Head - Up Station</t>
  </si>
  <si>
    <t>Distance at L201 Down Station to Anchor</t>
  </si>
  <si>
    <t>Distance at L201 Up Station to Anchor</t>
  </si>
  <si>
    <t>Distance from End of Segment to Start of Horizontal Curve - Down Station</t>
  </si>
  <si>
    <t>Distance from End of Segment to Start of Horizontal Curve - Up Station</t>
  </si>
  <si>
    <t>Distance from End of Segment to End of Horizontal Curve - Down Station</t>
  </si>
  <si>
    <t>Distance from End of Segment to End of Horizontal Curve - Up Station</t>
  </si>
  <si>
    <t>Offset from Web CL to End of Horizontal Curve Down Station</t>
  </si>
  <si>
    <t>Offset from Web CL to End of Horizontal Curve Up Station</t>
  </si>
  <si>
    <t>Radius at L201</t>
  </si>
  <si>
    <t>Radius at Tendon</t>
  </si>
  <si>
    <t>PierCL</t>
  </si>
  <si>
    <t>Number of Segments Past Pier Table to Horizontal Curve Dim - Down Station - Curve Start</t>
  </si>
  <si>
    <t>Number of Segments Past Pier Table to Horizontal Curve Dim - Down Station - Curve End</t>
  </si>
  <si>
    <t>Number of Segments Past Pier Table to Horizontal Curve Dim - Up Station - Curve Start</t>
  </si>
  <si>
    <t>Number of Segments Past Pier Table to Horizontal Curve Dim - Up Station - Curve End</t>
  </si>
  <si>
    <t>Distance from Pier to Start of Curve along tendon CL Down Station</t>
  </si>
  <si>
    <t>Distance from Pier to End of Curve along tendon CL Down Station</t>
  </si>
  <si>
    <t>Distance from Pier to Start of Curve along tendon CL Up Station</t>
  </si>
  <si>
    <t>Distance from Pier to End of Curve along tendon CL Up Station</t>
  </si>
  <si>
    <t>Distance from Pier CL to Anchor Down Station</t>
  </si>
  <si>
    <t>Distance from Pier CL to Anchor Up Station</t>
  </si>
  <si>
    <t>Tendon Name</t>
  </si>
  <si>
    <t>Distance from End of Segment to Start of Vertical Curve - Down Station</t>
  </si>
  <si>
    <t>Distance from End of Segment to Start of Vertical Curve - Up Station</t>
  </si>
  <si>
    <t>Distance from End of Segment to End of Vertical Curve - Down Station</t>
  </si>
  <si>
    <t>Distance from End of Segment to End of Vertical Curve - Up Station</t>
  </si>
  <si>
    <t>Distance from Previous Segment to End of Vert Curve - Down Station</t>
  </si>
  <si>
    <t>Distance from Previous Segment to Start of Vert Curve - Down Station</t>
  </si>
  <si>
    <t>Distance from Previous Segment to End of Vert Curve - Up Station</t>
  </si>
  <si>
    <t>Distance from Previous Segment to Start of Vert Curve - Up Station</t>
  </si>
  <si>
    <t>Distance from Pier 4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</si>
  <si>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</si>
  <si>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</si>
  <si>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</si>
  <si>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</si>
  <si>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</si>
  <si>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</si>
  <si>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</si>
  <si>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</si>
  <si>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</si>
  <si>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</si>
  <si>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</si>
  <si>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</si>
  <si>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DPT</t>
  </si>
  <si>
    <t>UPT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</si>
  <si>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</si>
  <si>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</si>
  <si>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</si>
  <si>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</si>
  <si>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</si>
  <si>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</si>
  <si>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</si>
  <si>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</si>
  <si>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</si>
  <si>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</si>
  <si>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</si>
  <si>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</si>
  <si>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CPT</t>
  </si>
  <si>
    <t>"Pier4East WebT09",</t>
  </si>
  <si>
    <t>"Pier4East WebT10",</t>
  </si>
  <si>
    <t>"Pier4East WebT11",</t>
  </si>
  <si>
    <t>"Pier4East WebT12",</t>
  </si>
  <si>
    <t>"Pier4East WebT13",</t>
  </si>
  <si>
    <t>"Pier4East WebT14",</t>
  </si>
  <si>
    <t>"Pier4East WebT15",</t>
  </si>
  <si>
    <t>"Pier4East WebT16",</t>
  </si>
  <si>
    <t>"Pier4East WebT17",</t>
  </si>
  <si>
    <t>"Pier4East WebT18",</t>
  </si>
  <si>
    <t>"Pier4East WebT19",</t>
  </si>
  <si>
    <t>"Pier4East WebT20",</t>
  </si>
  <si>
    <t>"Pier4East WebT21",</t>
  </si>
  <si>
    <t>"Pier4East WebT22",</t>
  </si>
  <si>
    <t>"Pier4East WebT23",</t>
  </si>
  <si>
    <t>"Pier4East WebT24",</t>
  </si>
  <si>
    <t>"Pier4East WebT25",</t>
  </si>
  <si>
    <t>Web Offset from Control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</si>
</sst>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4053"/>
      <name val="Franklin Gothic Demi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5" xfId="0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0" xfId="0" applyFill="1"/>
    <xf numFmtId="0" fontId="0" fillId="0" borderId="12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10" xfId="0" applyFill="1" applyBorder="1"/>
    <xf numFmtId="0" fontId="3" fillId="0" borderId="0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2" borderId="0" xfId="0" applyFont="1" applyFill="1" applyBorder="1"/>
    <xf numFmtId="0" fontId="0" fillId="0" borderId="14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4" fillId="3" borderId="0" xfId="1"/>
    <xf numFmtId="0" fontId="0" fillId="0" borderId="19" xfId="0" applyBorder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8" fillId="0" borderId="16" xfId="0" applyFont="1" applyFill="1" applyBorder="1" applyAlignment="1">
      <alignment wrapText="1"/>
    </xf>
    <xf numFmtId="0" fontId="0" fillId="0" borderId="0" xfId="0"/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0" fillId="0" borderId="0" xfId="0"/>
    <xf numFmtId="0" fontId="0" fillId="0" borderId="0" xfId="0" applyBorder="1"/>
    <xf numFmtId="0" fontId="7" fillId="0" borderId="14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8" xfId="0" applyFont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9" fillId="0" borderId="0" xfId="0" applyFont="1" applyBorder="1"/>
    <xf numFmtId="0" fontId="1" fillId="0" borderId="0" xfId="0" applyFont="1" applyBorder="1"/>
    <xf numFmtId="0" fontId="9" fillId="0" borderId="0" xfId="0" applyFont="1"/>
    <xf numFmtId="0" fontId="9" fillId="0" borderId="12" xfId="0" applyFont="1" applyBorder="1"/>
    <xf numFmtId="0" fontId="0" fillId="0" borderId="0" xfId="0" applyFont="1"/>
    <xf numFmtId="0" fontId="0" fillId="0" borderId="0" xfId="0" applyFont="1" applyBorder="1"/>
    <xf numFmtId="0" fontId="10" fillId="0" borderId="0" xfId="0" applyFont="1"/>
    <xf numFmtId="0" fontId="10" fillId="0" borderId="14" xfId="0" applyFont="1" applyBorder="1"/>
    <xf numFmtId="0" fontId="10" fillId="0" borderId="17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14" xfId="0" applyFont="1" applyBorder="1"/>
    <xf numFmtId="0" fontId="12" fillId="0" borderId="17" xfId="0" applyFont="1" applyBorder="1" applyAlignment="1">
      <alignment wrapText="1"/>
    </xf>
    <xf numFmtId="0" fontId="13" fillId="2" borderId="0" xfId="0" applyFont="1" applyFill="1"/>
    <xf numFmtId="0" fontId="13" fillId="0" borderId="0" xfId="0" applyFont="1"/>
  </cellXfs>
  <cellStyles count="4">
    <cellStyle name="Bad" xfId="1" builtinId="27"/>
    <cellStyle name="Normal" xfId="0" builtinId="0"/>
    <cellStyle name="Normal 2" xfId="3" xr:uid="{D95EB70F-8A72-411B-9321-42CB049D30B4}"/>
    <cellStyle name="Title2" xfId="2" xr:uid="{BDFFF75B-7445-4D57-8F0B-8277E226C4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CEA5-4DF7-4BB9-876C-8E193C255BD1}">
  <dimension ref="A1:M8"/>
  <sheetViews>
    <sheetView workbookViewId="0">
      <selection activeCell="D39" sqref="D39"/>
    </sheetView>
  </sheetViews>
  <sheetFormatPr defaultRowHeight="15" x14ac:dyDescent="0.25"/>
  <cols>
    <col min="5" max="5" width="11.140625" customWidth="1"/>
    <col min="6" max="6" width="12" bestFit="1" customWidth="1"/>
    <col min="7" max="7" width="11.7109375" customWidth="1"/>
    <col min="11" max="11" width="14.42578125" customWidth="1"/>
    <col min="12" max="12" width="12.42578125" customWidth="1"/>
    <col min="14" max="14" width="11.7109375" bestFit="1" customWidth="1"/>
  </cols>
  <sheetData>
    <row r="1" spans="1:13" x14ac:dyDescent="0.25">
      <c r="A1" t="s">
        <v>15</v>
      </c>
      <c r="B1" t="s">
        <v>16</v>
      </c>
      <c r="C1" t="s">
        <v>2</v>
      </c>
      <c r="D1" t="s">
        <v>0</v>
      </c>
      <c r="E1" t="s">
        <v>1</v>
      </c>
    </row>
    <row r="2" spans="1:13" x14ac:dyDescent="0.25">
      <c r="A2" t="s">
        <v>9</v>
      </c>
      <c r="B2" t="s">
        <v>3</v>
      </c>
      <c r="C2">
        <v>1113.1859999999999</v>
      </c>
      <c r="D2">
        <v>5662260.6789999995</v>
      </c>
      <c r="E2">
        <v>-16352.514999999999</v>
      </c>
      <c r="M2" s="1"/>
    </row>
    <row r="3" spans="1:13" x14ac:dyDescent="0.25">
      <c r="A3" t="s">
        <v>10</v>
      </c>
      <c r="B3" t="s">
        <v>4</v>
      </c>
      <c r="C3">
        <v>1111.575</v>
      </c>
      <c r="D3">
        <v>5662314.1289999997</v>
      </c>
      <c r="E3" s="1">
        <v>-16338.54</v>
      </c>
      <c r="M3" s="1"/>
    </row>
    <row r="4" spans="1:13" x14ac:dyDescent="0.25">
      <c r="A4" t="s">
        <v>11</v>
      </c>
      <c r="B4" t="s">
        <v>5</v>
      </c>
      <c r="C4">
        <v>1108.7180000000001</v>
      </c>
      <c r="D4">
        <v>5662407.483</v>
      </c>
      <c r="E4">
        <v>-16308.784</v>
      </c>
      <c r="M4" s="1"/>
    </row>
    <row r="5" spans="1:13" x14ac:dyDescent="0.25">
      <c r="A5" t="s">
        <v>12</v>
      </c>
      <c r="B5" t="s">
        <v>6</v>
      </c>
      <c r="C5">
        <v>1105.336</v>
      </c>
      <c r="D5">
        <v>5662515.0769999996</v>
      </c>
      <c r="E5">
        <v>-16265.513999999999</v>
      </c>
      <c r="M5" s="1"/>
    </row>
    <row r="6" spans="1:13" x14ac:dyDescent="0.25">
      <c r="A6" t="s">
        <v>13</v>
      </c>
      <c r="B6" t="s">
        <v>7</v>
      </c>
      <c r="C6">
        <v>1101.954</v>
      </c>
      <c r="D6">
        <v>5662618.8700000001</v>
      </c>
      <c r="E6">
        <v>-16213.785</v>
      </c>
      <c r="G6" s="2"/>
      <c r="H6" s="2"/>
      <c r="I6" s="2"/>
      <c r="M6" s="1"/>
    </row>
    <row r="7" spans="1:13" x14ac:dyDescent="0.25">
      <c r="A7" t="s">
        <v>14</v>
      </c>
      <c r="B7" t="s">
        <v>8</v>
      </c>
      <c r="C7">
        <v>1099.4580000000001</v>
      </c>
      <c r="D7">
        <v>5662692.6339999996</v>
      </c>
      <c r="E7">
        <v>-16170.379000000001</v>
      </c>
      <c r="G7" s="2"/>
      <c r="H7" s="2"/>
      <c r="I7" s="2"/>
      <c r="M7" s="1"/>
    </row>
    <row r="8" spans="1:13" x14ac:dyDescent="0.25">
      <c r="G8" s="2"/>
      <c r="H8" s="2"/>
      <c r="I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B136-F229-4433-9A24-1A5DAD936105}">
  <dimension ref="A1:AC30"/>
  <sheetViews>
    <sheetView workbookViewId="0">
      <selection activeCell="D22" sqref="D22"/>
    </sheetView>
  </sheetViews>
  <sheetFormatPr defaultRowHeight="15" x14ac:dyDescent="0.25"/>
  <cols>
    <col min="2" max="2" width="16.85546875" bestFit="1" customWidth="1"/>
    <col min="3" max="3" width="19.5703125" customWidth="1"/>
    <col min="4" max="4" width="12" style="8" bestFit="1" customWidth="1"/>
    <col min="5" max="5" width="9.140625" style="9"/>
    <col min="6" max="6" width="9.140625" style="8"/>
    <col min="7" max="7" width="9.85546875" style="12" customWidth="1"/>
    <col min="8" max="8" width="9.140625" style="12"/>
    <col min="9" max="9" width="9.140625" style="9"/>
    <col min="10" max="10" width="9.140625" style="8"/>
    <col min="11" max="12" width="9.140625" style="12"/>
    <col min="13" max="13" width="9.140625" style="9"/>
    <col min="14" max="14" width="9.140625" style="8"/>
    <col min="15" max="16" width="9.140625" style="12"/>
    <col min="17" max="17" width="9.140625" style="9"/>
    <col min="18" max="18" width="9.140625" style="8"/>
    <col min="19" max="20" width="9.140625" style="12"/>
    <col min="21" max="21" width="9.140625" style="9"/>
    <col min="22" max="24" width="9.140625" style="12"/>
    <col min="25" max="25" width="19.5703125" customWidth="1"/>
  </cols>
  <sheetData>
    <row r="1" spans="1:29" x14ac:dyDescent="0.25">
      <c r="A1">
        <v>0</v>
      </c>
      <c r="B1">
        <v>1</v>
      </c>
      <c r="C1">
        <v>2</v>
      </c>
      <c r="D1" s="8">
        <v>3</v>
      </c>
      <c r="E1" s="9">
        <v>4</v>
      </c>
      <c r="F1" s="8">
        <v>5</v>
      </c>
      <c r="G1" s="13">
        <v>6</v>
      </c>
      <c r="H1" s="13">
        <v>7</v>
      </c>
      <c r="I1" s="9">
        <v>8</v>
      </c>
      <c r="J1" s="8">
        <v>9</v>
      </c>
      <c r="K1" s="13">
        <v>10</v>
      </c>
      <c r="L1" s="13">
        <v>11</v>
      </c>
      <c r="M1" s="9">
        <v>12</v>
      </c>
      <c r="N1" s="8">
        <v>13</v>
      </c>
      <c r="O1" s="13">
        <v>14</v>
      </c>
      <c r="P1" s="13">
        <v>15</v>
      </c>
      <c r="Q1" s="9">
        <v>16</v>
      </c>
      <c r="R1" s="8">
        <v>17</v>
      </c>
      <c r="S1" s="13">
        <v>18</v>
      </c>
      <c r="T1" s="13">
        <v>19</v>
      </c>
      <c r="U1" s="9">
        <v>20</v>
      </c>
      <c r="V1" s="13">
        <v>21</v>
      </c>
      <c r="W1" s="13">
        <v>22</v>
      </c>
    </row>
    <row r="2" spans="1:29" x14ac:dyDescent="0.25">
      <c r="B2">
        <f>SQRT(4500^2+(4500*$C$2/100)^2)</f>
        <v>4501.9127810742848</v>
      </c>
      <c r="C2">
        <v>2.9159999999999999</v>
      </c>
      <c r="D2" s="4" t="s">
        <v>43</v>
      </c>
      <c r="E2" s="5"/>
      <c r="F2" s="4" t="s">
        <v>46</v>
      </c>
      <c r="G2" s="10"/>
      <c r="H2" s="10"/>
      <c r="I2" s="5"/>
      <c r="J2" s="4" t="s">
        <v>50</v>
      </c>
      <c r="K2" s="10"/>
      <c r="L2" s="10"/>
      <c r="M2" s="5"/>
      <c r="N2" s="4" t="s">
        <v>51</v>
      </c>
      <c r="O2" s="10"/>
      <c r="P2" s="10"/>
      <c r="Q2" s="5"/>
      <c r="R2" s="4" t="s">
        <v>56</v>
      </c>
      <c r="S2" s="10"/>
      <c r="T2" s="10"/>
      <c r="U2" s="5"/>
    </row>
    <row r="3" spans="1:29" ht="105" x14ac:dyDescent="0.25">
      <c r="A3" t="s">
        <v>17</v>
      </c>
      <c r="B3" t="s">
        <v>17</v>
      </c>
      <c r="C3" s="3" t="s">
        <v>58</v>
      </c>
      <c r="D3" s="6" t="s">
        <v>44</v>
      </c>
      <c r="E3" s="7" t="s">
        <v>45</v>
      </c>
      <c r="F3" s="6" t="s">
        <v>44</v>
      </c>
      <c r="G3" s="11" t="s">
        <v>47</v>
      </c>
      <c r="H3" s="11" t="s">
        <v>49</v>
      </c>
      <c r="I3" s="7" t="s">
        <v>48</v>
      </c>
      <c r="J3" s="6" t="s">
        <v>44</v>
      </c>
      <c r="K3" s="11" t="s">
        <v>47</v>
      </c>
      <c r="L3" s="11" t="s">
        <v>49</v>
      </c>
      <c r="M3" s="7" t="s">
        <v>48</v>
      </c>
      <c r="N3" s="6" t="s">
        <v>52</v>
      </c>
      <c r="O3" s="11" t="s">
        <v>53</v>
      </c>
      <c r="P3" s="11" t="s">
        <v>54</v>
      </c>
      <c r="Q3" s="7" t="s">
        <v>55</v>
      </c>
      <c r="R3" s="6" t="s">
        <v>52</v>
      </c>
      <c r="S3" s="11" t="s">
        <v>53</v>
      </c>
      <c r="T3" s="11" t="s">
        <v>54</v>
      </c>
      <c r="U3" s="7" t="s">
        <v>55</v>
      </c>
      <c r="V3" s="11" t="s">
        <v>212</v>
      </c>
      <c r="W3" s="11" t="s">
        <v>213</v>
      </c>
      <c r="X3" s="11" t="s">
        <v>59</v>
      </c>
      <c r="Y3" s="3" t="s">
        <v>57</v>
      </c>
    </row>
    <row r="4" spans="1:29" x14ac:dyDescent="0.25">
      <c r="A4" t="s">
        <v>18</v>
      </c>
      <c r="B4">
        <v>1</v>
      </c>
      <c r="C4">
        <f>AC4</f>
        <v>-1582.790559085297</v>
      </c>
      <c r="D4" s="8">
        <f>SQRT(3750^2+($C$2/100*3750)^2)</f>
        <v>3751.5939842285707</v>
      </c>
      <c r="E4" s="9">
        <f>SQRT(6000^2+($C$2/100*6000)^2)</f>
        <v>6002.5503747657131</v>
      </c>
      <c r="F4" s="36">
        <f>-D4</f>
        <v>-3751.5939842285707</v>
      </c>
      <c r="G4" s="12">
        <v>0</v>
      </c>
      <c r="H4" s="12">
        <v>0</v>
      </c>
      <c r="I4" s="9">
        <v>0</v>
      </c>
      <c r="J4" s="8">
        <v>0</v>
      </c>
      <c r="K4" s="12">
        <v>0</v>
      </c>
      <c r="L4" s="35">
        <f>E4</f>
        <v>6002.5503747657131</v>
      </c>
      <c r="M4" s="9">
        <v>0</v>
      </c>
      <c r="N4" s="8">
        <v>250</v>
      </c>
      <c r="O4" s="13">
        <v>-2381</v>
      </c>
      <c r="P4" s="13">
        <v>181</v>
      </c>
      <c r="Q4" s="9">
        <v>-3110</v>
      </c>
      <c r="R4" s="8">
        <v>250</v>
      </c>
      <c r="S4" s="13">
        <v>3154</v>
      </c>
      <c r="T4" s="13">
        <v>177</v>
      </c>
      <c r="U4" s="9">
        <v>3734</v>
      </c>
      <c r="X4" s="12">
        <f>-Y4*SIN(ATAN(0.038))</f>
        <v>-10.442463261306518</v>
      </c>
      <c r="Y4">
        <v>275</v>
      </c>
      <c r="Z4">
        <f>SQRT(1850^2+(1850*0.038)^2)</f>
        <v>1851.3352181601256</v>
      </c>
      <c r="AA4">
        <f>Y4-Z4</f>
        <v>-1576.3352181601256</v>
      </c>
      <c r="AB4">
        <f>170*SIN(ATAN(0.038))</f>
        <v>6.4553409251713019</v>
      </c>
      <c r="AC4">
        <f>AA4-AB4</f>
        <v>-1582.790559085297</v>
      </c>
    </row>
    <row r="5" spans="1:29" x14ac:dyDescent="0.25">
      <c r="A5" t="s">
        <v>19</v>
      </c>
      <c r="B5">
        <v>2</v>
      </c>
      <c r="C5">
        <f t="shared" ref="C5:C28" si="0">AC5</f>
        <v>-2132.790559085297</v>
      </c>
      <c r="D5" s="8">
        <f>D4+B2</f>
        <v>8253.5067653028564</v>
      </c>
      <c r="E5" s="9">
        <f>SQRT(6000^2+($C$2/100*6000)^2)</f>
        <v>6002.5503747657131</v>
      </c>
      <c r="F5" s="36">
        <f>-D5</f>
        <v>-8253.5067653028564</v>
      </c>
      <c r="G5" s="12">
        <v>0</v>
      </c>
      <c r="H5" s="12">
        <v>0</v>
      </c>
      <c r="I5" s="9">
        <v>0</v>
      </c>
      <c r="J5" s="8">
        <v>0</v>
      </c>
      <c r="K5" s="12">
        <v>0</v>
      </c>
      <c r="L5" s="35">
        <f>E5</f>
        <v>6002.5503747657131</v>
      </c>
      <c r="M5" s="9">
        <v>0</v>
      </c>
      <c r="N5" s="8">
        <v>250</v>
      </c>
      <c r="O5" s="12">
        <f>-(B2-844)</f>
        <v>-3657.9127810742848</v>
      </c>
      <c r="P5" s="13">
        <v>175</v>
      </c>
      <c r="Q5" s="9">
        <f>-(B2-333)</f>
        <v>-4168.9127810742848</v>
      </c>
      <c r="R5" s="8">
        <v>250</v>
      </c>
      <c r="S5" s="13">
        <v>3154</v>
      </c>
      <c r="T5" s="13">
        <v>177</v>
      </c>
      <c r="U5" s="9">
        <v>3734</v>
      </c>
      <c r="X5" s="12">
        <f t="shared" ref="X5:X28" si="1">-Y5*SIN(ATAN(0.038))</f>
        <v>10.442463261306518</v>
      </c>
      <c r="Y5">
        <v>-275</v>
      </c>
      <c r="Z5">
        <f t="shared" ref="Z5:Z28" si="2">SQRT(1850^2+(1850*0.038)^2)</f>
        <v>1851.3352181601256</v>
      </c>
      <c r="AA5">
        <f t="shared" ref="AA5:AA28" si="3">Y5-Z5</f>
        <v>-2126.3352181601258</v>
      </c>
      <c r="AB5">
        <f t="shared" ref="AB5:AB28" si="4">170*SIN(ATAN(0.038))</f>
        <v>6.4553409251713019</v>
      </c>
      <c r="AC5">
        <f t="shared" ref="AC5:AC28" si="5">AA5-AB5</f>
        <v>-2132.790559085297</v>
      </c>
    </row>
    <row r="6" spans="1:29" x14ac:dyDescent="0.25">
      <c r="A6" t="s">
        <v>20</v>
      </c>
      <c r="B6">
        <v>3</v>
      </c>
      <c r="C6">
        <f t="shared" si="0"/>
        <v>-1287.790559085297</v>
      </c>
      <c r="D6" s="8">
        <f>D4+969</f>
        <v>4720.5939842285707</v>
      </c>
      <c r="E6" s="9">
        <f>E4+969</f>
        <v>6971.5503747657131</v>
      </c>
      <c r="F6" s="8">
        <f>-($D$4+1*SQRT(4500^2+($C$2/100*4500)^2))</f>
        <v>-8253.5067653028564</v>
      </c>
      <c r="G6" s="12">
        <v>275</v>
      </c>
      <c r="H6" s="12">
        <f>-(D4+1913)</f>
        <v>-5664.5939842285707</v>
      </c>
      <c r="I6" s="9">
        <v>525</v>
      </c>
      <c r="J6" s="8">
        <f>E4+1913</f>
        <v>7915.5503747657131</v>
      </c>
      <c r="K6" s="12">
        <v>525</v>
      </c>
      <c r="L6" s="12">
        <f>E4+SQRT(4500^2+(C2/100*4500)^2)</f>
        <v>10504.463155839998</v>
      </c>
      <c r="M6" s="9">
        <v>275</v>
      </c>
      <c r="N6" s="8">
        <v>250</v>
      </c>
      <c r="O6" s="12">
        <f>-($B$2-1497)</f>
        <v>-3004.9127810742848</v>
      </c>
      <c r="P6" s="13">
        <v>177</v>
      </c>
      <c r="Q6" s="9">
        <f>-($B$2-896)</f>
        <v>-3605.9127810742848</v>
      </c>
      <c r="R6" s="8">
        <v>250</v>
      </c>
      <c r="S6" s="12">
        <f>$B$2-1878</f>
        <v>2623.9127810742848</v>
      </c>
      <c r="T6" s="12">
        <v>179</v>
      </c>
      <c r="U6" s="9">
        <f>$B$2-1208</f>
        <v>3293.9127810742848</v>
      </c>
      <c r="V6" s="12">
        <f>D4+B2</f>
        <v>8253.5067653028564</v>
      </c>
      <c r="W6" s="12">
        <f>E4+B2</f>
        <v>10504.463155839998</v>
      </c>
      <c r="X6" s="12">
        <f t="shared" si="1"/>
        <v>-21.644378396162601</v>
      </c>
      <c r="Y6">
        <f>Y4+295</f>
        <v>570</v>
      </c>
      <c r="Z6">
        <f t="shared" si="2"/>
        <v>1851.3352181601256</v>
      </c>
      <c r="AA6">
        <f t="shared" si="3"/>
        <v>-1281.3352181601256</v>
      </c>
      <c r="AB6">
        <f t="shared" si="4"/>
        <v>6.4553409251713019</v>
      </c>
      <c r="AC6">
        <f t="shared" si="5"/>
        <v>-1287.790559085297</v>
      </c>
    </row>
    <row r="7" spans="1:29" x14ac:dyDescent="0.25">
      <c r="A7" t="s">
        <v>21</v>
      </c>
      <c r="B7">
        <v>4</v>
      </c>
      <c r="C7">
        <f t="shared" si="0"/>
        <v>-2427.790559085297</v>
      </c>
      <c r="D7" s="8">
        <f>D4+1*SQRT(4500^2+($C$2/100*4500)^2)-814</f>
        <v>7439.5067653028564</v>
      </c>
      <c r="E7" s="9">
        <f>E5+514</f>
        <v>6516.5503747657131</v>
      </c>
      <c r="F7" s="8">
        <f>-(D4+2*SQRT(4500^2+($C$2/100*4500)^2))</f>
        <v>-12755.419546377139</v>
      </c>
      <c r="G7" s="12">
        <v>-275</v>
      </c>
      <c r="H7" s="12">
        <f>-($D$4+1*SQRT(4500^2+($C$2/100*4500)^2)-208)</f>
        <v>-8045.5067653028564</v>
      </c>
      <c r="I7" s="9">
        <v>-551</v>
      </c>
      <c r="J7" s="8">
        <f>SQRT(6000^2+($C$2/100*6000)^2)+1352</f>
        <v>7354.5503747657131</v>
      </c>
      <c r="K7" s="13">
        <v>-535</v>
      </c>
      <c r="L7" s="12">
        <f>L6</f>
        <v>10504.463155839998</v>
      </c>
      <c r="M7" s="9">
        <v>-275</v>
      </c>
      <c r="N7" s="8">
        <v>250</v>
      </c>
      <c r="O7" s="12">
        <f>-($B$2-1879)</f>
        <v>-2622.9127810742848</v>
      </c>
      <c r="P7" s="13">
        <v>179</v>
      </c>
      <c r="Q7" s="9">
        <f>-($B$2-1206)</f>
        <v>-3295.9127810742848</v>
      </c>
      <c r="R7" s="8">
        <v>250</v>
      </c>
      <c r="S7" s="12">
        <f>$B$2-792</f>
        <v>3709.9127810742848</v>
      </c>
      <c r="T7" s="13">
        <v>175</v>
      </c>
      <c r="U7" s="9">
        <f>$B$2-291</f>
        <v>4210.9127810742848</v>
      </c>
      <c r="V7" s="12">
        <f>D4+2*B2</f>
        <v>12755.419546377139</v>
      </c>
      <c r="W7" s="12">
        <f>E4+B2</f>
        <v>10504.463155839998</v>
      </c>
      <c r="X7" s="12">
        <f t="shared" si="1"/>
        <v>21.644378396162601</v>
      </c>
      <c r="Y7">
        <f>Y5-295</f>
        <v>-570</v>
      </c>
      <c r="Z7">
        <f t="shared" si="2"/>
        <v>1851.3352181601256</v>
      </c>
      <c r="AA7">
        <f t="shared" si="3"/>
        <v>-2421.3352181601258</v>
      </c>
      <c r="AB7">
        <f t="shared" si="4"/>
        <v>6.4553409251713019</v>
      </c>
      <c r="AC7">
        <f t="shared" si="5"/>
        <v>-2427.790559085297</v>
      </c>
    </row>
    <row r="8" spans="1:29" x14ac:dyDescent="0.25">
      <c r="A8" t="s">
        <v>22</v>
      </c>
      <c r="B8">
        <v>5</v>
      </c>
      <c r="C8">
        <f t="shared" si="0"/>
        <v>-1087.790559085297</v>
      </c>
      <c r="D8" s="8">
        <f>D5-1140</f>
        <v>7113.5067653028564</v>
      </c>
      <c r="E8" s="9">
        <f>E5+B2-1141</f>
        <v>9363.4631558399979</v>
      </c>
      <c r="F8" s="8">
        <f>-(D4+2*B2)</f>
        <v>-12755.419546377139</v>
      </c>
      <c r="G8" s="12">
        <v>275</v>
      </c>
      <c r="H8" s="12">
        <f>-(D4+B2-210)</f>
        <v>-8043.5067653028564</v>
      </c>
      <c r="I8" s="9">
        <v>726</v>
      </c>
      <c r="J8" s="8">
        <f>E4+B2-211</f>
        <v>10293.463155839998</v>
      </c>
      <c r="K8" s="12">
        <v>726</v>
      </c>
      <c r="L8" s="12">
        <f>E5+2*B2</f>
        <v>15006.375936914283</v>
      </c>
      <c r="M8" s="9">
        <v>275</v>
      </c>
      <c r="N8" s="8">
        <v>250</v>
      </c>
      <c r="O8" s="12">
        <f>-($B$2-1497)</f>
        <v>-3004.9127810742848</v>
      </c>
      <c r="P8" s="13">
        <v>177</v>
      </c>
      <c r="Q8" s="9">
        <f>-($B$2-896)</f>
        <v>-3605.9127810742848</v>
      </c>
      <c r="R8" s="8">
        <v>250</v>
      </c>
      <c r="S8" s="12">
        <f>$B$2-1878</f>
        <v>2623.9127810742848</v>
      </c>
      <c r="T8" s="12">
        <v>179</v>
      </c>
      <c r="U8" s="9">
        <f>$B$2-1208</f>
        <v>3293.9127810742848</v>
      </c>
      <c r="V8" s="12">
        <f>D4+2*B2</f>
        <v>12755.419546377139</v>
      </c>
      <c r="W8" s="12">
        <f>E4+B2*2</f>
        <v>15006.375936914283</v>
      </c>
      <c r="X8" s="12">
        <f t="shared" si="1"/>
        <v>-29.238897131658248</v>
      </c>
      <c r="Y8">
        <f>Y6+200</f>
        <v>770</v>
      </c>
      <c r="Z8">
        <f t="shared" si="2"/>
        <v>1851.3352181601256</v>
      </c>
      <c r="AA8">
        <f t="shared" si="3"/>
        <v>-1081.3352181601256</v>
      </c>
      <c r="AB8">
        <f t="shared" si="4"/>
        <v>6.4553409251713019</v>
      </c>
      <c r="AC8">
        <f t="shared" si="5"/>
        <v>-1087.790559085297</v>
      </c>
    </row>
    <row r="9" spans="1:29" x14ac:dyDescent="0.25">
      <c r="A9" t="s">
        <v>23</v>
      </c>
      <c r="B9">
        <v>6</v>
      </c>
      <c r="C9">
        <f t="shared" si="0"/>
        <v>-2627.790559085297</v>
      </c>
      <c r="D9" s="8">
        <f>D4+B2+409</f>
        <v>8662.5067653028564</v>
      </c>
      <c r="E9" s="9">
        <f>E4+B2-1857</f>
        <v>8647.4631558399979</v>
      </c>
      <c r="F9" s="8">
        <f>-(D4+3*B2)</f>
        <v>-17257.332327451426</v>
      </c>
      <c r="G9" s="12">
        <v>-275</v>
      </c>
      <c r="H9" s="12">
        <f>-(D5+1068)</f>
        <v>-9321.5067653028564</v>
      </c>
      <c r="I9" s="9">
        <v>-750</v>
      </c>
      <c r="J9" s="8">
        <f>E5+B2-1004</f>
        <v>9500.4631558399979</v>
      </c>
      <c r="K9" s="13">
        <v>-733</v>
      </c>
      <c r="L9" s="12">
        <f>E5+B2*2</f>
        <v>15006.375936914283</v>
      </c>
      <c r="M9" s="9">
        <v>-275</v>
      </c>
      <c r="N9" s="8">
        <v>250</v>
      </c>
      <c r="O9" s="12">
        <f>-($B$2-1879)</f>
        <v>-2622.9127810742848</v>
      </c>
      <c r="P9" s="13">
        <v>179</v>
      </c>
      <c r="Q9" s="9">
        <f>-($B$2-1206)</f>
        <v>-3295.9127810742848</v>
      </c>
      <c r="R9" s="8">
        <v>250</v>
      </c>
      <c r="S9" s="12">
        <f>$B$2-792</f>
        <v>3709.9127810742848</v>
      </c>
      <c r="T9" s="13">
        <v>175</v>
      </c>
      <c r="U9" s="9">
        <f>$B$2-291</f>
        <v>4210.9127810742848</v>
      </c>
      <c r="X9" s="12">
        <f t="shared" si="1"/>
        <v>29.238897131658248</v>
      </c>
      <c r="Y9">
        <f>Y7-200</f>
        <v>-770</v>
      </c>
      <c r="Z9">
        <f t="shared" si="2"/>
        <v>1851.3352181601256</v>
      </c>
      <c r="AA9">
        <f t="shared" si="3"/>
        <v>-2621.3352181601258</v>
      </c>
      <c r="AB9">
        <f t="shared" si="4"/>
        <v>6.4553409251713019</v>
      </c>
      <c r="AC9">
        <f t="shared" si="5"/>
        <v>-2627.790559085297</v>
      </c>
    </row>
    <row r="10" spans="1:29" x14ac:dyDescent="0.25">
      <c r="A10" t="s">
        <v>24</v>
      </c>
      <c r="B10">
        <v>7</v>
      </c>
      <c r="C10">
        <f t="shared" si="0"/>
        <v>-887.79055908529688</v>
      </c>
      <c r="D10" s="8">
        <f>D4+B2+1221</f>
        <v>9474.5067653028564</v>
      </c>
      <c r="E10" s="9">
        <f>E4+B2*1+1220</f>
        <v>11724.463155839998</v>
      </c>
      <c r="F10" s="37">
        <v>-30000</v>
      </c>
      <c r="G10" s="12">
        <v>275</v>
      </c>
      <c r="I10" s="9">
        <v>0</v>
      </c>
      <c r="K10" s="12">
        <v>0</v>
      </c>
      <c r="L10" s="38">
        <v>30000</v>
      </c>
      <c r="M10" s="9">
        <v>275</v>
      </c>
      <c r="N10" s="8">
        <v>250</v>
      </c>
      <c r="O10" s="12">
        <f>-($B$2-1497)</f>
        <v>-3004.9127810742848</v>
      </c>
      <c r="P10" s="13">
        <v>177</v>
      </c>
      <c r="Q10" s="9">
        <f>-($B$2-896)</f>
        <v>-3605.9127810742848</v>
      </c>
      <c r="R10" s="8">
        <v>250</v>
      </c>
      <c r="S10" s="12">
        <f>$B$2-1878</f>
        <v>2623.9127810742848</v>
      </c>
      <c r="T10" s="12">
        <v>179</v>
      </c>
      <c r="U10" s="9">
        <f>$B$2-1208</f>
        <v>3293.9127810742848</v>
      </c>
      <c r="X10" s="12">
        <f t="shared" si="1"/>
        <v>-36.833415867153896</v>
      </c>
      <c r="Y10">
        <f>Y8+200</f>
        <v>970</v>
      </c>
      <c r="Z10">
        <f t="shared" si="2"/>
        <v>1851.3352181601256</v>
      </c>
      <c r="AA10">
        <f t="shared" si="3"/>
        <v>-881.33521816012558</v>
      </c>
      <c r="AB10">
        <f t="shared" si="4"/>
        <v>6.4553409251713019</v>
      </c>
      <c r="AC10">
        <f t="shared" si="5"/>
        <v>-887.79055908529688</v>
      </c>
    </row>
    <row r="11" spans="1:29" x14ac:dyDescent="0.25">
      <c r="A11" t="s">
        <v>25</v>
      </c>
      <c r="B11">
        <v>8</v>
      </c>
      <c r="C11">
        <f t="shared" si="0"/>
        <v>-2827.790559085297</v>
      </c>
      <c r="D11" s="8">
        <f>D4+B2+1805</f>
        <v>10058.506765302856</v>
      </c>
      <c r="E11" s="9">
        <f>E4+B2*1+324</f>
        <v>10828.463155839998</v>
      </c>
      <c r="F11" s="37">
        <v>-30000</v>
      </c>
      <c r="G11" s="12">
        <v>-275</v>
      </c>
      <c r="I11" s="9">
        <v>0</v>
      </c>
      <c r="K11" s="12">
        <v>0</v>
      </c>
      <c r="L11" s="38">
        <v>30000</v>
      </c>
      <c r="M11" s="9">
        <v>-275</v>
      </c>
      <c r="N11" s="8">
        <v>250</v>
      </c>
      <c r="O11" s="12">
        <f>-($B$2-1879)</f>
        <v>-2622.9127810742848</v>
      </c>
      <c r="P11" s="13">
        <v>179</v>
      </c>
      <c r="Q11" s="9">
        <f>-($B$2-1206)</f>
        <v>-3295.9127810742848</v>
      </c>
      <c r="R11" s="8">
        <v>250</v>
      </c>
      <c r="S11" s="12">
        <f>$B$2-792</f>
        <v>3709.9127810742848</v>
      </c>
      <c r="T11" s="13">
        <v>175</v>
      </c>
      <c r="U11" s="9">
        <f>$B$2-291</f>
        <v>4210.9127810742848</v>
      </c>
      <c r="X11" s="12">
        <f t="shared" si="1"/>
        <v>36.833415867153896</v>
      </c>
      <c r="Y11">
        <f>Y9-200</f>
        <v>-970</v>
      </c>
      <c r="Z11">
        <f t="shared" si="2"/>
        <v>1851.3352181601256</v>
      </c>
      <c r="AA11">
        <f t="shared" si="3"/>
        <v>-2821.3352181601258</v>
      </c>
      <c r="AB11">
        <f t="shared" si="4"/>
        <v>6.4553409251713019</v>
      </c>
      <c r="AC11">
        <f t="shared" si="5"/>
        <v>-2827.790559085297</v>
      </c>
    </row>
    <row r="12" spans="1:29" x14ac:dyDescent="0.25">
      <c r="A12" t="s">
        <v>26</v>
      </c>
      <c r="B12">
        <v>9</v>
      </c>
      <c r="C12">
        <f t="shared" si="0"/>
        <v>-687.79055908529688</v>
      </c>
      <c r="D12" s="8">
        <f>D4+B2*2-957</f>
        <v>11798.419546377139</v>
      </c>
      <c r="E12" s="9">
        <f>E4+B2*2-959</f>
        <v>14047.375936914283</v>
      </c>
      <c r="F12" s="37">
        <v>-30000</v>
      </c>
      <c r="G12" s="12">
        <v>275</v>
      </c>
      <c r="I12" s="9">
        <v>0</v>
      </c>
      <c r="K12" s="12">
        <v>0</v>
      </c>
      <c r="L12" s="38">
        <v>30000</v>
      </c>
      <c r="M12" s="9">
        <v>275</v>
      </c>
      <c r="N12" s="8">
        <v>250</v>
      </c>
      <c r="O12" s="12">
        <f>-($B$2-1497)</f>
        <v>-3004.9127810742848</v>
      </c>
      <c r="P12" s="13">
        <v>177</v>
      </c>
      <c r="Q12" s="9">
        <f>-($B$2-896)</f>
        <v>-3605.9127810742848</v>
      </c>
      <c r="R12" s="8">
        <v>250</v>
      </c>
      <c r="S12" s="12">
        <f>$B$2-1878</f>
        <v>2623.9127810742848</v>
      </c>
      <c r="T12" s="12">
        <v>179</v>
      </c>
      <c r="U12" s="9">
        <f>$B$2-1208</f>
        <v>3293.9127810742848</v>
      </c>
      <c r="X12" s="12">
        <f t="shared" si="1"/>
        <v>-44.42793460264955</v>
      </c>
      <c r="Y12">
        <f>Y10+200</f>
        <v>1170</v>
      </c>
      <c r="Z12">
        <f t="shared" si="2"/>
        <v>1851.3352181601256</v>
      </c>
      <c r="AA12">
        <f t="shared" si="3"/>
        <v>-681.33521816012558</v>
      </c>
      <c r="AB12">
        <f t="shared" si="4"/>
        <v>6.4553409251713019</v>
      </c>
      <c r="AC12">
        <f t="shared" si="5"/>
        <v>-687.79055908529688</v>
      </c>
    </row>
    <row r="13" spans="1:29" x14ac:dyDescent="0.25">
      <c r="A13" t="s">
        <v>27</v>
      </c>
      <c r="B13">
        <v>10</v>
      </c>
      <c r="C13">
        <f t="shared" si="0"/>
        <v>-3027.790559085297</v>
      </c>
      <c r="D13" s="8">
        <f>D4+B2*2-1236</f>
        <v>11519.419546377139</v>
      </c>
      <c r="E13" s="9">
        <f>E4+B2*2-1960</f>
        <v>13046.375936914283</v>
      </c>
      <c r="F13" s="37">
        <v>-30000</v>
      </c>
      <c r="G13" s="12">
        <v>-275</v>
      </c>
      <c r="I13" s="9">
        <v>0</v>
      </c>
      <c r="K13" s="12">
        <v>0</v>
      </c>
      <c r="L13" s="38">
        <v>30000</v>
      </c>
      <c r="M13" s="9">
        <v>-275</v>
      </c>
      <c r="N13" s="8">
        <v>250</v>
      </c>
      <c r="O13" s="12">
        <f>-($B$2-1879)</f>
        <v>-2622.9127810742848</v>
      </c>
      <c r="P13" s="13">
        <v>179</v>
      </c>
      <c r="Q13" s="9">
        <f>-($B$2-1206)</f>
        <v>-3295.9127810742848</v>
      </c>
      <c r="R13" s="8">
        <v>250</v>
      </c>
      <c r="S13" s="12">
        <f>$B$2-792</f>
        <v>3709.9127810742848</v>
      </c>
      <c r="T13" s="13">
        <v>175</v>
      </c>
      <c r="U13" s="9">
        <f>$B$2-291</f>
        <v>4210.9127810742848</v>
      </c>
      <c r="X13" s="12">
        <f t="shared" si="1"/>
        <v>44.42793460264955</v>
      </c>
      <c r="Y13">
        <f>Y11-200</f>
        <v>-1170</v>
      </c>
      <c r="Z13">
        <f t="shared" si="2"/>
        <v>1851.3352181601256</v>
      </c>
      <c r="AA13">
        <f t="shared" si="3"/>
        <v>-3021.3352181601258</v>
      </c>
      <c r="AB13">
        <f t="shared" si="4"/>
        <v>6.4553409251713019</v>
      </c>
      <c r="AC13">
        <f t="shared" si="5"/>
        <v>-3027.790559085297</v>
      </c>
    </row>
    <row r="14" spans="1:29" x14ac:dyDescent="0.25">
      <c r="A14" t="s">
        <v>28</v>
      </c>
      <c r="B14">
        <v>11</v>
      </c>
      <c r="C14">
        <f t="shared" si="0"/>
        <v>-487.79055908529688</v>
      </c>
      <c r="D14" s="8">
        <f>D4+B2*2+1330</f>
        <v>14085.419546377139</v>
      </c>
      <c r="E14" s="9">
        <f>E4+B2*2+1328</f>
        <v>16334.375936914283</v>
      </c>
      <c r="F14" s="37">
        <v>-30000</v>
      </c>
      <c r="G14" s="12">
        <v>275</v>
      </c>
      <c r="I14" s="9">
        <v>0</v>
      </c>
      <c r="K14" s="12">
        <v>0</v>
      </c>
      <c r="L14" s="38">
        <v>30000</v>
      </c>
      <c r="M14" s="9">
        <v>275</v>
      </c>
      <c r="N14" s="8">
        <v>250</v>
      </c>
      <c r="O14" s="12">
        <f>-($B$2-1497)</f>
        <v>-3004.9127810742848</v>
      </c>
      <c r="P14" s="13">
        <v>177</v>
      </c>
      <c r="Q14" s="9">
        <f>-($B$2-896)</f>
        <v>-3605.9127810742848</v>
      </c>
      <c r="R14" s="8">
        <v>250</v>
      </c>
      <c r="S14" s="12">
        <f>$B$2-1878</f>
        <v>2623.9127810742848</v>
      </c>
      <c r="T14" s="12">
        <v>179</v>
      </c>
      <c r="U14" s="9">
        <f>$B$2-1208</f>
        <v>3293.9127810742848</v>
      </c>
      <c r="X14" s="12">
        <f t="shared" si="1"/>
        <v>-52.022453338145198</v>
      </c>
      <c r="Y14">
        <f>Y12+200</f>
        <v>1370</v>
      </c>
      <c r="Z14">
        <f t="shared" si="2"/>
        <v>1851.3352181601256</v>
      </c>
      <c r="AA14">
        <f t="shared" si="3"/>
        <v>-481.33521816012558</v>
      </c>
      <c r="AB14">
        <f t="shared" si="4"/>
        <v>6.4553409251713019</v>
      </c>
      <c r="AC14">
        <f t="shared" si="5"/>
        <v>-487.79055908529688</v>
      </c>
    </row>
    <row r="15" spans="1:29" x14ac:dyDescent="0.25">
      <c r="A15" t="s">
        <v>29</v>
      </c>
      <c r="B15">
        <v>12</v>
      </c>
      <c r="C15">
        <f t="shared" si="0"/>
        <v>-3227.790559085297</v>
      </c>
      <c r="D15" s="8">
        <f>D4+B2*2+325</f>
        <v>13080.419546377139</v>
      </c>
      <c r="E15" s="9">
        <f>E4+B2*2+305</f>
        <v>15311.375936914283</v>
      </c>
      <c r="F15" s="37">
        <v>-30000</v>
      </c>
      <c r="G15" s="12">
        <v>-275</v>
      </c>
      <c r="I15" s="9">
        <v>0</v>
      </c>
      <c r="K15" s="12">
        <v>0</v>
      </c>
      <c r="L15" s="38">
        <v>30000</v>
      </c>
      <c r="M15" s="9">
        <v>-275</v>
      </c>
      <c r="N15" s="8">
        <v>250</v>
      </c>
      <c r="O15" s="12">
        <f>-($B$2-1879)</f>
        <v>-2622.9127810742848</v>
      </c>
      <c r="P15" s="13">
        <v>179</v>
      </c>
      <c r="Q15" s="9">
        <f>-($B$2-1206)</f>
        <v>-3295.9127810742848</v>
      </c>
      <c r="R15" s="8">
        <v>250</v>
      </c>
      <c r="S15" s="12">
        <f>$B$2-792</f>
        <v>3709.9127810742848</v>
      </c>
      <c r="T15" s="13">
        <v>175</v>
      </c>
      <c r="U15" s="9">
        <f>$B$2-291</f>
        <v>4210.9127810742848</v>
      </c>
      <c r="X15" s="12">
        <f t="shared" si="1"/>
        <v>52.022453338145198</v>
      </c>
      <c r="Y15">
        <f>Y13-200</f>
        <v>-1370</v>
      </c>
      <c r="Z15">
        <f t="shared" si="2"/>
        <v>1851.3352181601256</v>
      </c>
      <c r="AA15">
        <f t="shared" si="3"/>
        <v>-3221.3352181601258</v>
      </c>
      <c r="AB15">
        <f t="shared" si="4"/>
        <v>6.4553409251713019</v>
      </c>
      <c r="AC15">
        <f t="shared" si="5"/>
        <v>-3227.790559085297</v>
      </c>
    </row>
    <row r="16" spans="1:29" x14ac:dyDescent="0.25">
      <c r="A16" t="s">
        <v>30</v>
      </c>
      <c r="B16">
        <v>13</v>
      </c>
      <c r="C16">
        <f t="shared" si="0"/>
        <v>-287.79055908529688</v>
      </c>
      <c r="D16" s="8">
        <f>D4+B2*3-924</f>
        <v>16333.332327451426</v>
      </c>
      <c r="E16" s="9">
        <f>E4+B2*3-926</f>
        <v>18582.288717988566</v>
      </c>
      <c r="F16" s="37">
        <v>-30000</v>
      </c>
      <c r="G16" s="12">
        <v>275</v>
      </c>
      <c r="I16" s="9">
        <v>0</v>
      </c>
      <c r="K16" s="12">
        <v>0</v>
      </c>
      <c r="L16" s="38">
        <v>30000</v>
      </c>
      <c r="M16" s="9">
        <v>275</v>
      </c>
      <c r="N16" s="8">
        <v>250</v>
      </c>
      <c r="O16" s="12">
        <f>-($B$2-1497)</f>
        <v>-3004.9127810742848</v>
      </c>
      <c r="P16" s="13">
        <v>177</v>
      </c>
      <c r="Q16" s="9">
        <f>-($B$2-896)</f>
        <v>-3605.9127810742848</v>
      </c>
      <c r="R16" s="8">
        <v>250</v>
      </c>
      <c r="S16" s="12">
        <f>$B$2-1878</f>
        <v>2623.9127810742848</v>
      </c>
      <c r="T16" s="12">
        <v>179</v>
      </c>
      <c r="U16" s="9">
        <f>$B$2-1208</f>
        <v>3293.9127810742848</v>
      </c>
      <c r="X16" s="12">
        <f t="shared" si="1"/>
        <v>-59.616972073640845</v>
      </c>
      <c r="Y16">
        <f>Y14+200</f>
        <v>1570</v>
      </c>
      <c r="Z16">
        <f t="shared" si="2"/>
        <v>1851.3352181601256</v>
      </c>
      <c r="AA16">
        <f t="shared" si="3"/>
        <v>-281.33521816012558</v>
      </c>
      <c r="AB16">
        <f t="shared" si="4"/>
        <v>6.4553409251713019</v>
      </c>
      <c r="AC16">
        <f t="shared" si="5"/>
        <v>-287.79055908529688</v>
      </c>
    </row>
    <row r="17" spans="1:29" x14ac:dyDescent="0.25">
      <c r="A17" t="s">
        <v>31</v>
      </c>
      <c r="B17">
        <v>14</v>
      </c>
      <c r="C17">
        <f t="shared" si="0"/>
        <v>-3427.790559085297</v>
      </c>
      <c r="D17" s="8">
        <f>D4+B2*2+1971</f>
        <v>14726.419546377139</v>
      </c>
      <c r="E17" s="9">
        <f>E4+B2*3-1902</f>
        <v>17606.288717988566</v>
      </c>
      <c r="F17" s="37">
        <v>-30000</v>
      </c>
      <c r="G17" s="12">
        <v>-275</v>
      </c>
      <c r="I17" s="9">
        <v>0</v>
      </c>
      <c r="K17" s="12">
        <v>0</v>
      </c>
      <c r="L17" s="38">
        <v>30000</v>
      </c>
      <c r="M17" s="9">
        <v>-275</v>
      </c>
      <c r="N17" s="8">
        <v>250</v>
      </c>
      <c r="O17" s="12">
        <f>-($B$2-1879)</f>
        <v>-2622.9127810742848</v>
      </c>
      <c r="P17" s="13">
        <v>179</v>
      </c>
      <c r="Q17" s="9">
        <f>-($B$2-1206)</f>
        <v>-3295.9127810742848</v>
      </c>
      <c r="R17" s="8">
        <v>250</v>
      </c>
      <c r="S17" s="12">
        <f>$B$2-792</f>
        <v>3709.9127810742848</v>
      </c>
      <c r="T17" s="13">
        <v>175</v>
      </c>
      <c r="U17" s="9">
        <f>$B$2-291</f>
        <v>4210.9127810742848</v>
      </c>
      <c r="X17" s="12">
        <f t="shared" si="1"/>
        <v>59.616972073640845</v>
      </c>
      <c r="Y17">
        <f>Y15-200</f>
        <v>-1570</v>
      </c>
      <c r="Z17">
        <f t="shared" si="2"/>
        <v>1851.3352181601256</v>
      </c>
      <c r="AA17">
        <f t="shared" si="3"/>
        <v>-3421.3352181601258</v>
      </c>
      <c r="AB17">
        <f t="shared" si="4"/>
        <v>6.4553409251713019</v>
      </c>
      <c r="AC17">
        <f t="shared" si="5"/>
        <v>-3427.790559085297</v>
      </c>
    </row>
    <row r="18" spans="1:29" x14ac:dyDescent="0.25">
      <c r="A18" t="s">
        <v>32</v>
      </c>
      <c r="B18">
        <v>15</v>
      </c>
      <c r="C18">
        <f t="shared" si="0"/>
        <v>-87.790559085296877</v>
      </c>
      <c r="D18" s="8">
        <f>D4+B2*3+1282</f>
        <v>18539.332327451426</v>
      </c>
      <c r="E18" s="9">
        <f>E40+B2*3+1278</f>
        <v>14783.738343222854</v>
      </c>
      <c r="F18" s="37">
        <v>-30000</v>
      </c>
      <c r="G18" s="12">
        <v>275</v>
      </c>
      <c r="I18" s="9">
        <v>0</v>
      </c>
      <c r="K18" s="12">
        <v>0</v>
      </c>
      <c r="L18" s="38">
        <v>30000</v>
      </c>
      <c r="M18" s="9">
        <v>275</v>
      </c>
      <c r="N18" s="8">
        <v>250</v>
      </c>
      <c r="O18" s="12">
        <f>-($B$2-1497)</f>
        <v>-3004.9127810742848</v>
      </c>
      <c r="P18" s="13">
        <v>177</v>
      </c>
      <c r="Q18" s="9">
        <f>-($B$2-896)</f>
        <v>-3605.9127810742848</v>
      </c>
      <c r="R18" s="8">
        <v>250</v>
      </c>
      <c r="S18" s="12">
        <f>$B$2-1878</f>
        <v>2623.9127810742848</v>
      </c>
      <c r="T18" s="12">
        <v>179</v>
      </c>
      <c r="U18" s="9">
        <f>$B$2-1208</f>
        <v>3293.9127810742848</v>
      </c>
      <c r="X18" s="12">
        <f t="shared" si="1"/>
        <v>-67.211490809136492</v>
      </c>
      <c r="Y18">
        <f>Y16+200</f>
        <v>1770</v>
      </c>
      <c r="Z18">
        <f t="shared" si="2"/>
        <v>1851.3352181601256</v>
      </c>
      <c r="AA18">
        <f t="shared" si="3"/>
        <v>-81.335218160125578</v>
      </c>
      <c r="AB18">
        <f t="shared" si="4"/>
        <v>6.4553409251713019</v>
      </c>
      <c r="AC18">
        <f t="shared" si="5"/>
        <v>-87.790559085296877</v>
      </c>
    </row>
    <row r="19" spans="1:29" x14ac:dyDescent="0.25">
      <c r="A19" t="s">
        <v>33</v>
      </c>
      <c r="B19">
        <v>16</v>
      </c>
      <c r="C19">
        <f t="shared" si="0"/>
        <v>-3627.790559085297</v>
      </c>
      <c r="D19" s="8">
        <f>D4+B2*3-816</f>
        <v>16441.332327451426</v>
      </c>
      <c r="E19" s="9">
        <f>E4+B2*3+438</f>
        <v>19946.288717988566</v>
      </c>
      <c r="F19" s="37">
        <v>-30000</v>
      </c>
      <c r="G19" s="12">
        <v>-275</v>
      </c>
      <c r="I19" s="9">
        <v>0</v>
      </c>
      <c r="K19" s="12">
        <v>0</v>
      </c>
      <c r="L19" s="38">
        <v>30000</v>
      </c>
      <c r="M19" s="9">
        <v>-275</v>
      </c>
      <c r="N19" s="8">
        <v>250</v>
      </c>
      <c r="O19" s="12">
        <f>-($B$2-1879)</f>
        <v>-2622.9127810742848</v>
      </c>
      <c r="P19" s="13">
        <v>179</v>
      </c>
      <c r="Q19" s="9">
        <f>-($B$2-1206)</f>
        <v>-3295.9127810742848</v>
      </c>
      <c r="R19" s="8">
        <v>250</v>
      </c>
      <c r="S19" s="12">
        <f>$B$2-792</f>
        <v>3709.9127810742848</v>
      </c>
      <c r="T19" s="13">
        <v>175</v>
      </c>
      <c r="U19" s="9">
        <f>$B$2-291</f>
        <v>4210.9127810742848</v>
      </c>
      <c r="X19" s="12">
        <f t="shared" si="1"/>
        <v>67.211490809136492</v>
      </c>
      <c r="Y19">
        <f>Y17-200</f>
        <v>-1770</v>
      </c>
      <c r="Z19">
        <f t="shared" si="2"/>
        <v>1851.3352181601256</v>
      </c>
      <c r="AA19">
        <f t="shared" si="3"/>
        <v>-3621.3352181601258</v>
      </c>
      <c r="AB19">
        <f t="shared" si="4"/>
        <v>6.4553409251713019</v>
      </c>
      <c r="AC19">
        <f t="shared" si="5"/>
        <v>-3627.790559085297</v>
      </c>
    </row>
    <row r="20" spans="1:29" x14ac:dyDescent="0.25">
      <c r="A20" t="s">
        <v>34</v>
      </c>
      <c r="B20">
        <v>17</v>
      </c>
      <c r="C20">
        <f t="shared" si="0"/>
        <v>112.20944091470312</v>
      </c>
      <c r="D20" s="8">
        <f>D4+B2*4-1057</f>
        <v>20702.245108525709</v>
      </c>
      <c r="E20" s="9">
        <f>E4+B2*4-1061</f>
        <v>22949.201499062852</v>
      </c>
      <c r="F20" s="37">
        <v>-30000</v>
      </c>
      <c r="G20" s="12">
        <v>275</v>
      </c>
      <c r="I20" s="9">
        <v>0</v>
      </c>
      <c r="K20" s="12">
        <v>0</v>
      </c>
      <c r="L20" s="38">
        <v>30000</v>
      </c>
      <c r="M20" s="9">
        <v>275</v>
      </c>
      <c r="N20" s="8">
        <v>250</v>
      </c>
      <c r="O20" s="12">
        <f>-($B$2-1497)</f>
        <v>-3004.9127810742848</v>
      </c>
      <c r="P20" s="13">
        <v>177</v>
      </c>
      <c r="Q20" s="9">
        <f>-($B$2-896)</f>
        <v>-3605.9127810742848</v>
      </c>
      <c r="R20" s="8">
        <v>250</v>
      </c>
      <c r="S20" s="12">
        <f>$B$2-1878</f>
        <v>2623.9127810742848</v>
      </c>
      <c r="T20" s="12">
        <v>179</v>
      </c>
      <c r="U20" s="9">
        <f>$B$2-1208</f>
        <v>3293.9127810742848</v>
      </c>
      <c r="X20" s="12">
        <f t="shared" si="1"/>
        <v>-74.806009544632147</v>
      </c>
      <c r="Y20">
        <f>Y18+200</f>
        <v>1970</v>
      </c>
      <c r="Z20">
        <f t="shared" si="2"/>
        <v>1851.3352181601256</v>
      </c>
      <c r="AA20">
        <f t="shared" si="3"/>
        <v>118.66478183987442</v>
      </c>
      <c r="AB20">
        <f t="shared" si="4"/>
        <v>6.4553409251713019</v>
      </c>
      <c r="AC20">
        <f t="shared" si="5"/>
        <v>112.20944091470312</v>
      </c>
    </row>
    <row r="21" spans="1:29" x14ac:dyDescent="0.25">
      <c r="A21" t="s">
        <v>35</v>
      </c>
      <c r="B21">
        <v>18</v>
      </c>
      <c r="C21">
        <f t="shared" si="0"/>
        <v>-3827.790559085297</v>
      </c>
      <c r="D21" s="8">
        <f>D4+B2*3+980</f>
        <v>18237.332327451426</v>
      </c>
      <c r="E21" s="9">
        <f>E4+B2*4-1698</f>
        <v>22312.201499062852</v>
      </c>
      <c r="F21" s="37">
        <v>-30000</v>
      </c>
      <c r="G21" s="12">
        <v>-275</v>
      </c>
      <c r="I21" s="9">
        <v>0</v>
      </c>
      <c r="K21" s="12">
        <v>0</v>
      </c>
      <c r="L21" s="38">
        <v>30000</v>
      </c>
      <c r="M21" s="9">
        <v>-275</v>
      </c>
      <c r="N21" s="8">
        <v>250</v>
      </c>
      <c r="O21" s="12">
        <f>-($B$2-1879)</f>
        <v>-2622.9127810742848</v>
      </c>
      <c r="P21" s="13">
        <v>179</v>
      </c>
      <c r="Q21" s="9">
        <f>-($B$2-1206)</f>
        <v>-3295.9127810742848</v>
      </c>
      <c r="R21" s="8">
        <v>250</v>
      </c>
      <c r="S21" s="12">
        <f>$B$2-792</f>
        <v>3709.9127810742848</v>
      </c>
      <c r="T21" s="13">
        <v>175</v>
      </c>
      <c r="U21" s="9">
        <f>$B$2-291</f>
        <v>4210.9127810742848</v>
      </c>
      <c r="X21" s="12">
        <f t="shared" si="1"/>
        <v>74.806009544632147</v>
      </c>
      <c r="Y21">
        <f>Y19-200</f>
        <v>-1970</v>
      </c>
      <c r="Z21">
        <f t="shared" si="2"/>
        <v>1851.3352181601256</v>
      </c>
      <c r="AA21">
        <f t="shared" si="3"/>
        <v>-3821.3352181601258</v>
      </c>
      <c r="AB21">
        <f t="shared" si="4"/>
        <v>6.4553409251713019</v>
      </c>
      <c r="AC21">
        <f t="shared" si="5"/>
        <v>-3827.790559085297</v>
      </c>
    </row>
    <row r="22" spans="1:29" x14ac:dyDescent="0.25">
      <c r="A22" t="s">
        <v>36</v>
      </c>
      <c r="B22">
        <v>19</v>
      </c>
      <c r="C22">
        <f t="shared" si="0"/>
        <v>312.20944091470312</v>
      </c>
      <c r="D22" s="8">
        <f>D4+B2*4+1058</f>
        <v>22817.245108525709</v>
      </c>
      <c r="E22" s="9">
        <f>E4+B2*4+1053</f>
        <v>25063.201499062852</v>
      </c>
      <c r="F22" s="37">
        <v>-30000</v>
      </c>
      <c r="G22" s="12">
        <v>275</v>
      </c>
      <c r="I22" s="9">
        <v>0</v>
      </c>
      <c r="K22" s="12">
        <v>0</v>
      </c>
      <c r="L22" s="38">
        <v>30000</v>
      </c>
      <c r="M22" s="9">
        <v>275</v>
      </c>
      <c r="N22" s="8">
        <v>250</v>
      </c>
      <c r="O22" s="12">
        <f>-($B$2-1497)</f>
        <v>-3004.9127810742848</v>
      </c>
      <c r="P22" s="13">
        <v>177</v>
      </c>
      <c r="Q22" s="9">
        <f>-($B$2-896)</f>
        <v>-3605.9127810742848</v>
      </c>
      <c r="R22" s="8">
        <v>250</v>
      </c>
      <c r="S22" s="12">
        <f>$B$2-1878</f>
        <v>2623.9127810742848</v>
      </c>
      <c r="T22" s="12">
        <v>179</v>
      </c>
      <c r="U22" s="9">
        <f>$B$2-1208</f>
        <v>3293.9127810742848</v>
      </c>
      <c r="X22" s="12">
        <f t="shared" si="1"/>
        <v>-82.400528280127787</v>
      </c>
      <c r="Y22">
        <f>Y20+200</f>
        <v>2170</v>
      </c>
      <c r="Z22">
        <f t="shared" si="2"/>
        <v>1851.3352181601256</v>
      </c>
      <c r="AA22">
        <f t="shared" si="3"/>
        <v>318.66478183987442</v>
      </c>
      <c r="AB22">
        <f t="shared" si="4"/>
        <v>6.4553409251713019</v>
      </c>
      <c r="AC22">
        <f t="shared" si="5"/>
        <v>312.20944091470312</v>
      </c>
    </row>
    <row r="23" spans="1:29" x14ac:dyDescent="0.25">
      <c r="A23" t="s">
        <v>37</v>
      </c>
      <c r="B23">
        <v>20</v>
      </c>
      <c r="C23">
        <f t="shared" si="0"/>
        <v>-4027.790559085297</v>
      </c>
      <c r="D23" s="8">
        <f>D4+B2*4-1669</f>
        <v>20090.245108525709</v>
      </c>
      <c r="E23" s="9">
        <f>E4+B2*4+711</f>
        <v>24721.201499062852</v>
      </c>
      <c r="F23" s="37">
        <v>-30000</v>
      </c>
      <c r="G23" s="12">
        <v>-275</v>
      </c>
      <c r="I23" s="9">
        <v>0</v>
      </c>
      <c r="K23" s="12">
        <v>0</v>
      </c>
      <c r="L23" s="38">
        <v>30000</v>
      </c>
      <c r="M23" s="9">
        <v>-275</v>
      </c>
      <c r="N23" s="8">
        <v>250</v>
      </c>
      <c r="O23" s="12">
        <f>-($B$2-1879)</f>
        <v>-2622.9127810742848</v>
      </c>
      <c r="P23" s="13">
        <v>179</v>
      </c>
      <c r="Q23" s="9">
        <f>-($B$2-1206)</f>
        <v>-3295.9127810742848</v>
      </c>
      <c r="R23" s="8">
        <v>250</v>
      </c>
      <c r="S23" s="12">
        <f>$B$2-792</f>
        <v>3709.9127810742848</v>
      </c>
      <c r="T23" s="13">
        <v>175</v>
      </c>
      <c r="U23" s="9">
        <f>$B$2-291</f>
        <v>4210.9127810742848</v>
      </c>
      <c r="X23" s="12">
        <f t="shared" si="1"/>
        <v>82.400528280127787</v>
      </c>
      <c r="Y23">
        <f>Y21-200</f>
        <v>-2170</v>
      </c>
      <c r="Z23">
        <f t="shared" si="2"/>
        <v>1851.3352181601256</v>
      </c>
      <c r="AA23">
        <f t="shared" si="3"/>
        <v>-4021.3352181601258</v>
      </c>
      <c r="AB23">
        <f t="shared" si="4"/>
        <v>6.4553409251713019</v>
      </c>
      <c r="AC23">
        <f t="shared" si="5"/>
        <v>-4027.790559085297</v>
      </c>
    </row>
    <row r="24" spans="1:29" x14ac:dyDescent="0.25">
      <c r="A24" t="s">
        <v>38</v>
      </c>
      <c r="B24">
        <v>21</v>
      </c>
      <c r="C24">
        <f t="shared" si="0"/>
        <v>512.20944091470312</v>
      </c>
      <c r="D24" s="8">
        <f>D4+B2*5-1376</f>
        <v>24885.157889599996</v>
      </c>
      <c r="E24" s="9">
        <f>E4+B2*5-1381</f>
        <v>27131.114280137139</v>
      </c>
      <c r="F24" s="37">
        <v>-30000</v>
      </c>
      <c r="G24" s="12">
        <v>275</v>
      </c>
      <c r="I24" s="9">
        <v>0</v>
      </c>
      <c r="K24" s="12">
        <v>0</v>
      </c>
      <c r="L24" s="38">
        <v>30000</v>
      </c>
      <c r="M24" s="9">
        <v>275</v>
      </c>
      <c r="N24" s="8">
        <v>250</v>
      </c>
      <c r="O24" s="12">
        <f>-($B$2-1497)</f>
        <v>-3004.9127810742848</v>
      </c>
      <c r="P24" s="13">
        <v>177</v>
      </c>
      <c r="Q24" s="9">
        <f>-($B$2-896)</f>
        <v>-3605.9127810742848</v>
      </c>
      <c r="R24" s="8">
        <v>250</v>
      </c>
      <c r="S24" s="12">
        <f>$B$2-1878</f>
        <v>2623.9127810742848</v>
      </c>
      <c r="T24" s="12">
        <v>179</v>
      </c>
      <c r="U24" s="9">
        <f>$B$2-1208</f>
        <v>3293.9127810742848</v>
      </c>
      <c r="X24" s="12">
        <f t="shared" si="1"/>
        <v>-89.995047015623442</v>
      </c>
      <c r="Y24">
        <f>Y22+200</f>
        <v>2370</v>
      </c>
      <c r="Z24">
        <f t="shared" si="2"/>
        <v>1851.3352181601256</v>
      </c>
      <c r="AA24">
        <f t="shared" si="3"/>
        <v>518.66478183987442</v>
      </c>
      <c r="AB24">
        <f t="shared" si="4"/>
        <v>6.4553409251713019</v>
      </c>
      <c r="AC24">
        <f t="shared" si="5"/>
        <v>512.20944091470312</v>
      </c>
    </row>
    <row r="25" spans="1:29" x14ac:dyDescent="0.25">
      <c r="A25" t="s">
        <v>39</v>
      </c>
      <c r="B25">
        <v>22</v>
      </c>
      <c r="C25">
        <f t="shared" si="0"/>
        <v>-4227.790559085297</v>
      </c>
      <c r="D25" s="8">
        <f>D4+B2*4+257</f>
        <v>22016.245108525709</v>
      </c>
      <c r="E25" s="9">
        <f>E4+B2*5-1360</f>
        <v>27152.114280137139</v>
      </c>
      <c r="F25" s="37">
        <v>-30000</v>
      </c>
      <c r="G25" s="12">
        <v>-275</v>
      </c>
      <c r="I25" s="9">
        <v>0</v>
      </c>
      <c r="K25" s="12">
        <v>0</v>
      </c>
      <c r="L25" s="38">
        <v>30000</v>
      </c>
      <c r="M25" s="9">
        <v>-275</v>
      </c>
      <c r="N25" s="8">
        <v>250</v>
      </c>
      <c r="O25" s="12">
        <f>-($B$2-1879)</f>
        <v>-2622.9127810742848</v>
      </c>
      <c r="P25" s="13">
        <v>179</v>
      </c>
      <c r="Q25" s="9">
        <f>-($B$2-1206)</f>
        <v>-3295.9127810742848</v>
      </c>
      <c r="R25" s="8">
        <v>250</v>
      </c>
      <c r="S25" s="12">
        <f>$B$2-792</f>
        <v>3709.9127810742848</v>
      </c>
      <c r="T25" s="13">
        <v>175</v>
      </c>
      <c r="U25" s="9">
        <f>$B$2-291</f>
        <v>4210.9127810742848</v>
      </c>
      <c r="X25" s="12">
        <f t="shared" si="1"/>
        <v>89.995047015623442</v>
      </c>
      <c r="Y25">
        <f>Y23-200</f>
        <v>-2370</v>
      </c>
      <c r="Z25">
        <f t="shared" si="2"/>
        <v>1851.3352181601256</v>
      </c>
      <c r="AA25">
        <f t="shared" si="3"/>
        <v>-4221.3352181601258</v>
      </c>
      <c r="AB25">
        <f t="shared" si="4"/>
        <v>6.4553409251713019</v>
      </c>
      <c r="AC25">
        <f t="shared" si="5"/>
        <v>-4227.790559085297</v>
      </c>
    </row>
    <row r="26" spans="1:29" x14ac:dyDescent="0.25">
      <c r="A26" t="s">
        <v>40</v>
      </c>
      <c r="B26">
        <v>23</v>
      </c>
      <c r="C26">
        <f t="shared" si="0"/>
        <v>712.20944091470312</v>
      </c>
      <c r="D26" s="8">
        <f>D4+B2*5+637</f>
        <v>26898.157889599996</v>
      </c>
      <c r="E26" s="9">
        <f>E4+B2*5+631</f>
        <v>29143.114280137139</v>
      </c>
      <c r="F26" s="37">
        <v>-30000</v>
      </c>
      <c r="G26" s="12">
        <v>275</v>
      </c>
      <c r="I26" s="9">
        <v>0</v>
      </c>
      <c r="K26" s="12">
        <v>0</v>
      </c>
      <c r="L26" s="38">
        <v>30000</v>
      </c>
      <c r="M26" s="9">
        <v>275</v>
      </c>
      <c r="N26" s="8">
        <v>250</v>
      </c>
      <c r="O26" s="12">
        <f>-($B$2-1497)</f>
        <v>-3004.9127810742848</v>
      </c>
      <c r="P26" s="13">
        <v>177</v>
      </c>
      <c r="Q26" s="9">
        <f>-($B$2-896)</f>
        <v>-3605.9127810742848</v>
      </c>
      <c r="R26" s="8">
        <v>250</v>
      </c>
      <c r="S26" s="12">
        <f>$B$2-1878</f>
        <v>2623.9127810742848</v>
      </c>
      <c r="T26" s="12">
        <v>179</v>
      </c>
      <c r="U26" s="9">
        <f>$B$2-1208</f>
        <v>3293.9127810742848</v>
      </c>
      <c r="X26" s="12">
        <f t="shared" si="1"/>
        <v>-97.589565751119096</v>
      </c>
      <c r="Y26">
        <f>Y24+200</f>
        <v>2570</v>
      </c>
      <c r="Z26">
        <f t="shared" si="2"/>
        <v>1851.3352181601256</v>
      </c>
      <c r="AA26">
        <f t="shared" si="3"/>
        <v>718.66478183987442</v>
      </c>
      <c r="AB26">
        <f t="shared" si="4"/>
        <v>6.4553409251713019</v>
      </c>
      <c r="AC26">
        <f t="shared" si="5"/>
        <v>712.20944091470312</v>
      </c>
    </row>
    <row r="27" spans="1:29" x14ac:dyDescent="0.25">
      <c r="A27" t="s">
        <v>41</v>
      </c>
      <c r="B27">
        <v>24</v>
      </c>
      <c r="C27">
        <f t="shared" si="0"/>
        <v>-4427.790559085297</v>
      </c>
      <c r="D27" s="8">
        <f>D4+B2*5-2273</f>
        <v>23988.157889599996</v>
      </c>
      <c r="E27" s="9">
        <f>E4+B2*5+1111</f>
        <v>29623.114280137139</v>
      </c>
      <c r="F27" s="37">
        <v>-30000</v>
      </c>
      <c r="G27" s="12">
        <v>-275</v>
      </c>
      <c r="I27" s="9">
        <v>0</v>
      </c>
      <c r="K27" s="12">
        <v>0</v>
      </c>
      <c r="L27" s="38">
        <v>30000</v>
      </c>
      <c r="M27" s="9">
        <v>-275</v>
      </c>
      <c r="N27" s="8">
        <v>250</v>
      </c>
      <c r="O27" s="12">
        <f>-($B$2-1879)</f>
        <v>-2622.9127810742848</v>
      </c>
      <c r="P27" s="13">
        <v>179</v>
      </c>
      <c r="Q27" s="9">
        <f>-($B$2-1206)</f>
        <v>-3295.9127810742848</v>
      </c>
      <c r="R27" s="8">
        <v>250</v>
      </c>
      <c r="S27" s="12">
        <f>$B$2-792</f>
        <v>3709.9127810742848</v>
      </c>
      <c r="T27" s="13">
        <v>175</v>
      </c>
      <c r="U27" s="9">
        <f>$B$2-291</f>
        <v>4210.9127810742848</v>
      </c>
      <c r="X27" s="12">
        <f t="shared" si="1"/>
        <v>97.589565751119096</v>
      </c>
      <c r="Y27">
        <f>Y25-200</f>
        <v>-2570</v>
      </c>
      <c r="Z27">
        <f t="shared" si="2"/>
        <v>1851.3352181601256</v>
      </c>
      <c r="AA27">
        <f t="shared" si="3"/>
        <v>-4421.3352181601258</v>
      </c>
      <c r="AB27">
        <f t="shared" si="4"/>
        <v>6.4553409251713019</v>
      </c>
      <c r="AC27">
        <f t="shared" si="5"/>
        <v>-4427.790559085297</v>
      </c>
    </row>
    <row r="28" spans="1:29" x14ac:dyDescent="0.25">
      <c r="A28" t="s">
        <v>42</v>
      </c>
      <c r="B28">
        <v>25</v>
      </c>
      <c r="C28">
        <f t="shared" si="0"/>
        <v>912.20944091470312</v>
      </c>
      <c r="D28" s="8">
        <f>D4+B2*6-1905</f>
        <v>28858.070670674279</v>
      </c>
      <c r="E28" s="9">
        <f>E4+B2*6-1911</f>
        <v>31103.027061211425</v>
      </c>
      <c r="F28" s="37">
        <v>-30000</v>
      </c>
      <c r="G28" s="12">
        <v>275</v>
      </c>
      <c r="I28" s="9">
        <v>0</v>
      </c>
      <c r="K28" s="12">
        <v>0</v>
      </c>
      <c r="L28" s="38">
        <v>30000</v>
      </c>
      <c r="M28" s="9">
        <v>275</v>
      </c>
      <c r="N28" s="8">
        <v>250</v>
      </c>
      <c r="O28" s="12">
        <f>-($B$2-1497)</f>
        <v>-3004.9127810742848</v>
      </c>
      <c r="P28" s="13">
        <v>177</v>
      </c>
      <c r="Q28" s="9">
        <f>-($B$2-896)</f>
        <v>-3605.9127810742848</v>
      </c>
      <c r="R28" s="8">
        <v>250</v>
      </c>
      <c r="S28" s="12">
        <f>$B$2-1878</f>
        <v>2623.9127810742848</v>
      </c>
      <c r="T28" s="12">
        <v>179</v>
      </c>
      <c r="U28" s="9">
        <f>$B$2-1208</f>
        <v>3293.9127810742848</v>
      </c>
      <c r="X28" s="12">
        <f t="shared" si="1"/>
        <v>-105.18408448661474</v>
      </c>
      <c r="Y28">
        <f>Y26+200</f>
        <v>2770</v>
      </c>
      <c r="Z28">
        <f t="shared" si="2"/>
        <v>1851.3352181601256</v>
      </c>
      <c r="AA28">
        <f t="shared" si="3"/>
        <v>918.66478183987442</v>
      </c>
      <c r="AB28">
        <f t="shared" si="4"/>
        <v>6.4553409251713019</v>
      </c>
      <c r="AC28">
        <f t="shared" si="5"/>
        <v>912.20944091470312</v>
      </c>
    </row>
    <row r="29" spans="1:29" x14ac:dyDescent="0.25">
      <c r="G29" s="12">
        <v>0</v>
      </c>
      <c r="I29" s="9">
        <v>0</v>
      </c>
      <c r="K29" s="12">
        <v>0</v>
      </c>
      <c r="L29" s="38">
        <v>30000</v>
      </c>
      <c r="M29" s="9">
        <v>0</v>
      </c>
      <c r="P29" s="13"/>
      <c r="T29" s="13"/>
    </row>
    <row r="30" spans="1:29" x14ac:dyDescent="0.25"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1E7B-69E2-47B2-BE3A-66F5D6D7AAA5}">
  <dimension ref="A1:EA80"/>
  <sheetViews>
    <sheetView tabSelected="1" workbookViewId="0">
      <pane xSplit="3" ySplit="5" topLeftCell="AI51" activePane="bottomRight" state="frozen"/>
      <selection pane="topRight" activeCell="D1" sqref="D1"/>
      <selection pane="bottomLeft" activeCell="A4" sqref="A4"/>
      <selection pane="bottomRight" activeCell="AK5" sqref="AK5"/>
    </sheetView>
  </sheetViews>
  <sheetFormatPr defaultRowHeight="15" x14ac:dyDescent="0.25"/>
  <cols>
    <col min="1" max="1" width="5.5703125" bestFit="1" customWidth="1"/>
    <col min="2" max="2" width="10.140625" bestFit="1" customWidth="1"/>
    <col min="4" max="4" width="28.42578125" style="53" customWidth="1"/>
    <col min="5" max="5" width="17.28515625" style="56" customWidth="1"/>
    <col min="6" max="6" width="16.42578125" style="56" customWidth="1"/>
    <col min="7" max="8" width="12" customWidth="1"/>
    <col min="9" max="9" width="14.28515625" customWidth="1"/>
    <col min="10" max="10" width="15.85546875" customWidth="1"/>
    <col min="11" max="12" width="13" customWidth="1"/>
    <col min="13" max="13" width="18.5703125" customWidth="1"/>
    <col min="14" max="14" width="18.5703125" style="53" customWidth="1"/>
    <col min="15" max="15" width="18.5703125" customWidth="1"/>
    <col min="16" max="16" width="18.5703125" style="53" customWidth="1"/>
    <col min="17" max="20" width="15.28515625" customWidth="1"/>
    <col min="21" max="22" width="15.28515625" style="47" customWidth="1"/>
    <col min="23" max="23" width="15.28515625" customWidth="1"/>
    <col min="24" max="25" width="16.140625" style="71" customWidth="1"/>
    <col min="26" max="26" width="16.140625" style="47" customWidth="1"/>
    <col min="27" max="27" width="16.140625" style="57" customWidth="1"/>
    <col min="28" max="28" width="15.28515625" style="56" customWidth="1"/>
    <col min="29" max="29" width="15.28515625" style="57" customWidth="1"/>
    <col min="30" max="30" width="14.5703125" style="47" customWidth="1"/>
    <col min="31" max="31" width="14.5703125" style="67" customWidth="1"/>
    <col min="32" max="33" width="14.5703125" style="47" customWidth="1"/>
    <col min="34" max="37" width="14.140625" customWidth="1"/>
    <col min="38" max="38" width="17.28515625" style="56" customWidth="1"/>
    <col min="39" max="39" width="16.42578125" style="56" customWidth="1"/>
  </cols>
  <sheetData>
    <row r="1" spans="1:131" s="53" customFormat="1" x14ac:dyDescent="0.25">
      <c r="A1" s="53">
        <v>0</v>
      </c>
      <c r="B1" s="53">
        <f>A1+1</f>
        <v>1</v>
      </c>
      <c r="C1" s="53">
        <f t="shared" ref="C1:AE1" si="0">B1+1</f>
        <v>2</v>
      </c>
      <c r="D1" s="53">
        <f t="shared" si="0"/>
        <v>3</v>
      </c>
      <c r="E1" s="47">
        <f t="shared" si="0"/>
        <v>4</v>
      </c>
      <c r="F1" s="47">
        <f t="shared" si="0"/>
        <v>5</v>
      </c>
      <c r="G1" s="53">
        <f t="shared" si="0"/>
        <v>6</v>
      </c>
      <c r="H1" s="53">
        <f t="shared" si="0"/>
        <v>7</v>
      </c>
      <c r="I1" s="53">
        <f t="shared" si="0"/>
        <v>8</v>
      </c>
      <c r="J1" s="53">
        <f t="shared" si="0"/>
        <v>9</v>
      </c>
      <c r="K1" s="53">
        <f t="shared" si="0"/>
        <v>10</v>
      </c>
      <c r="L1" s="53">
        <f t="shared" si="0"/>
        <v>11</v>
      </c>
      <c r="M1" s="53">
        <f t="shared" si="0"/>
        <v>12</v>
      </c>
      <c r="N1" s="53">
        <f t="shared" si="0"/>
        <v>13</v>
      </c>
      <c r="O1" s="53">
        <f t="shared" si="0"/>
        <v>14</v>
      </c>
      <c r="P1" s="53">
        <f t="shared" si="0"/>
        <v>15</v>
      </c>
      <c r="Q1" s="53">
        <f t="shared" si="0"/>
        <v>16</v>
      </c>
      <c r="R1" s="53">
        <f t="shared" si="0"/>
        <v>17</v>
      </c>
      <c r="S1" s="53">
        <f t="shared" si="0"/>
        <v>18</v>
      </c>
      <c r="T1" s="53">
        <f t="shared" si="0"/>
        <v>19</v>
      </c>
      <c r="U1" s="53">
        <f t="shared" si="0"/>
        <v>20</v>
      </c>
      <c r="V1" s="53">
        <f t="shared" si="0"/>
        <v>21</v>
      </c>
      <c r="W1" s="53">
        <f t="shared" si="0"/>
        <v>22</v>
      </c>
      <c r="X1" s="71">
        <f t="shared" si="0"/>
        <v>23</v>
      </c>
      <c r="Y1" s="71">
        <f t="shared" si="0"/>
        <v>24</v>
      </c>
      <c r="Z1" s="47">
        <f>Y1+1</f>
        <v>25</v>
      </c>
      <c r="AA1" s="47">
        <f t="shared" si="0"/>
        <v>26</v>
      </c>
      <c r="AB1" s="56">
        <f t="shared" si="0"/>
        <v>27</v>
      </c>
      <c r="AC1" s="57">
        <f t="shared" si="0"/>
        <v>28</v>
      </c>
      <c r="AD1" s="47">
        <f t="shared" si="0"/>
        <v>29</v>
      </c>
      <c r="AE1" s="67">
        <f t="shared" si="0"/>
        <v>30</v>
      </c>
      <c r="AF1" s="47">
        <f t="shared" ref="AF1:AG1" si="1">AE1+1</f>
        <v>31</v>
      </c>
      <c r="AG1" s="47">
        <f t="shared" si="1"/>
        <v>32</v>
      </c>
      <c r="AL1" s="47">
        <f t="shared" ref="AL1" si="2">AK1+1</f>
        <v>1</v>
      </c>
      <c r="AM1" s="47">
        <f t="shared" ref="AM1" si="3">AL1+1</f>
        <v>2</v>
      </c>
    </row>
    <row r="2" spans="1:131" x14ac:dyDescent="0.25">
      <c r="A2">
        <v>0</v>
      </c>
      <c r="B2">
        <v>1</v>
      </c>
      <c r="C2">
        <v>2</v>
      </c>
      <c r="E2" s="56">
        <v>3</v>
      </c>
      <c r="F2" s="56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O2">
        <v>12</v>
      </c>
      <c r="Q2" s="44">
        <v>13</v>
      </c>
      <c r="R2" s="44">
        <v>14</v>
      </c>
      <c r="S2" s="44">
        <v>15</v>
      </c>
      <c r="T2" s="44">
        <v>16</v>
      </c>
      <c r="U2" s="47">
        <v>17</v>
      </c>
      <c r="V2" s="47">
        <v>18</v>
      </c>
      <c r="W2" s="44">
        <v>19</v>
      </c>
      <c r="X2" s="71">
        <v>20</v>
      </c>
      <c r="Y2" s="71">
        <v>21</v>
      </c>
      <c r="Z2" s="47">
        <v>22</v>
      </c>
      <c r="AA2" s="57">
        <v>23</v>
      </c>
      <c r="AB2" s="56">
        <v>24</v>
      </c>
      <c r="AC2" s="57">
        <v>25</v>
      </c>
      <c r="AD2" s="47">
        <v>26</v>
      </c>
      <c r="AE2" s="67">
        <v>27</v>
      </c>
      <c r="AF2" s="47">
        <v>28</v>
      </c>
      <c r="AG2" s="47">
        <v>29</v>
      </c>
      <c r="AL2" s="56">
        <v>3</v>
      </c>
      <c r="AM2" s="56">
        <v>4</v>
      </c>
    </row>
    <row r="3" spans="1:131" s="53" customFormat="1" x14ac:dyDescent="0.25">
      <c r="B3" s="53" t="s">
        <v>237</v>
      </c>
      <c r="C3" s="53">
        <v>1450000</v>
      </c>
      <c r="E3" s="56"/>
      <c r="F3" s="56"/>
      <c r="U3" s="47"/>
      <c r="V3" s="47"/>
      <c r="X3" s="71"/>
      <c r="Y3" s="71"/>
      <c r="Z3" s="47"/>
      <c r="AA3" s="57"/>
      <c r="AB3" s="56"/>
      <c r="AC3" s="57"/>
      <c r="AD3" s="47"/>
      <c r="AE3" s="67"/>
      <c r="AF3" s="47"/>
      <c r="AG3" s="47"/>
      <c r="AL3" s="56"/>
      <c r="AM3" s="56"/>
    </row>
    <row r="4" spans="1:131" s="39" customFormat="1" ht="105" x14ac:dyDescent="0.25">
      <c r="A4" s="39" t="s">
        <v>224</v>
      </c>
      <c r="E4" s="60" t="s">
        <v>218</v>
      </c>
      <c r="F4" s="60" t="s">
        <v>219</v>
      </c>
      <c r="Q4" s="50" t="s">
        <v>216</v>
      </c>
      <c r="R4" s="51" t="s">
        <v>217</v>
      </c>
      <c r="U4" s="48" t="s">
        <v>214</v>
      </c>
      <c r="V4" s="48" t="s">
        <v>215</v>
      </c>
      <c r="X4" s="72"/>
      <c r="Y4" s="72"/>
      <c r="Z4" s="55"/>
      <c r="AA4" s="58"/>
      <c r="AB4" s="55"/>
      <c r="AC4" s="58"/>
      <c r="AD4" s="55"/>
      <c r="AE4" s="68"/>
      <c r="AF4" s="55"/>
      <c r="AG4" s="55"/>
      <c r="AL4" s="60" t="s">
        <v>218</v>
      </c>
      <c r="AM4" s="60" t="s">
        <v>219</v>
      </c>
      <c r="AR4" s="48" t="s">
        <v>214</v>
      </c>
      <c r="AS4" s="48" t="s">
        <v>215</v>
      </c>
    </row>
    <row r="5" spans="1:131" s="40" customFormat="1" ht="120" x14ac:dyDescent="0.25">
      <c r="A5" s="40" t="s">
        <v>156</v>
      </c>
      <c r="B5" s="40" t="s">
        <v>15</v>
      </c>
      <c r="C5" s="40" t="s">
        <v>167</v>
      </c>
      <c r="D5" s="40" t="s">
        <v>250</v>
      </c>
      <c r="E5" s="52" t="s">
        <v>222</v>
      </c>
      <c r="F5" s="52" t="s">
        <v>223</v>
      </c>
      <c r="G5" s="41" t="s">
        <v>225</v>
      </c>
      <c r="H5" s="41" t="s">
        <v>226</v>
      </c>
      <c r="I5" s="41" t="s">
        <v>227</v>
      </c>
      <c r="J5" s="41" t="s">
        <v>228</v>
      </c>
      <c r="K5" s="41" t="s">
        <v>229</v>
      </c>
      <c r="L5" s="41" t="s">
        <v>230</v>
      </c>
      <c r="M5" s="41" t="s">
        <v>240</v>
      </c>
      <c r="N5" s="41" t="s">
        <v>241</v>
      </c>
      <c r="O5" s="41" t="s">
        <v>242</v>
      </c>
      <c r="P5" s="41" t="s">
        <v>243</v>
      </c>
      <c r="Q5" s="41" t="s">
        <v>231</v>
      </c>
      <c r="R5" s="41" t="s">
        <v>232</v>
      </c>
      <c r="S5" s="41" t="s">
        <v>233</v>
      </c>
      <c r="T5" s="41" t="s">
        <v>234</v>
      </c>
      <c r="U5" s="52" t="s">
        <v>235</v>
      </c>
      <c r="V5" s="52" t="s">
        <v>236</v>
      </c>
      <c r="W5" s="41" t="s">
        <v>238</v>
      </c>
      <c r="X5" s="73" t="s">
        <v>244</v>
      </c>
      <c r="Y5" s="73" t="s">
        <v>245</v>
      </c>
      <c r="Z5" s="52" t="s">
        <v>246</v>
      </c>
      <c r="AA5" s="59" t="s">
        <v>247</v>
      </c>
      <c r="AB5" s="52" t="s">
        <v>248</v>
      </c>
      <c r="AC5" s="59" t="s">
        <v>249</v>
      </c>
      <c r="AD5" s="52" t="s">
        <v>253</v>
      </c>
      <c r="AE5" s="69" t="s">
        <v>251</v>
      </c>
      <c r="AF5" s="52" t="s">
        <v>252</v>
      </c>
      <c r="AG5" s="52" t="s">
        <v>254</v>
      </c>
      <c r="AH5" s="41" t="s">
        <v>255</v>
      </c>
      <c r="AI5" s="41" t="s">
        <v>256</v>
      </c>
      <c r="AJ5" s="41" t="s">
        <v>258</v>
      </c>
      <c r="AK5" s="41" t="s">
        <v>257</v>
      </c>
      <c r="AL5" s="52" t="s">
        <v>222</v>
      </c>
      <c r="AM5" s="52" t="s">
        <v>223</v>
      </c>
      <c r="AN5" s="40" t="s">
        <v>304</v>
      </c>
      <c r="AR5" s="52" t="s">
        <v>235</v>
      </c>
      <c r="AS5" s="52" t="s">
        <v>236</v>
      </c>
    </row>
    <row r="6" spans="1:131" s="44" customFormat="1" x14ac:dyDescent="0.25">
      <c r="A6" s="44" t="s">
        <v>13</v>
      </c>
      <c r="B6" s="44" t="s">
        <v>200</v>
      </c>
      <c r="C6" s="44" t="s">
        <v>18</v>
      </c>
      <c r="D6" s="53" t="str">
        <f>A6&amp;B6&amp;C6</f>
        <v>Pier4West WebT01</v>
      </c>
      <c r="E6" s="56">
        <f>AP6</f>
        <v>10419</v>
      </c>
      <c r="F6" s="56">
        <f>AQ6</f>
        <v>10376.91</v>
      </c>
      <c r="G6" s="45">
        <f>3750+4500</f>
        <v>8250</v>
      </c>
      <c r="H6" s="44">
        <v>6000</v>
      </c>
      <c r="I6" s="43" t="s">
        <v>166</v>
      </c>
      <c r="J6" s="43">
        <v>0</v>
      </c>
      <c r="K6" s="44">
        <v>3750</v>
      </c>
      <c r="L6" s="46">
        <f>J6*4500+H6</f>
        <v>6000</v>
      </c>
      <c r="M6" s="44" t="s">
        <v>239</v>
      </c>
      <c r="N6" s="53" t="s">
        <v>239</v>
      </c>
      <c r="O6" s="44">
        <v>0</v>
      </c>
      <c r="P6" s="53">
        <v>0</v>
      </c>
      <c r="Q6" s="44">
        <v>1536</v>
      </c>
      <c r="R6" s="44">
        <v>-2240</v>
      </c>
      <c r="S6" s="44">
        <v>1726</v>
      </c>
      <c r="T6" s="44">
        <v>-2051</v>
      </c>
      <c r="U6" s="47">
        <f>AT6</f>
        <v>10417</v>
      </c>
      <c r="V6" s="47">
        <f>AU6</f>
        <v>10417</v>
      </c>
      <c r="W6" s="49">
        <f t="shared" ref="W6:W37" si="4">Radius_at_L201+E6</f>
        <v>1460419</v>
      </c>
      <c r="X6" s="71">
        <f>Q6</f>
        <v>1536</v>
      </c>
      <c r="Y6" s="71">
        <f>S6</f>
        <v>1726</v>
      </c>
      <c r="Z6" s="47">
        <f t="shared" ref="Z6:Z30" si="5">(H6+4500*O6)*(W6/Radius_at_L201)+R6</f>
        <v>3803.113103448276</v>
      </c>
      <c r="AA6" s="57">
        <f t="shared" ref="AA6:AA30" si="6">(H6+4500*P6)*(W6/Radius_at_L201)+T6</f>
        <v>3992.113103448276</v>
      </c>
      <c r="AB6" s="56">
        <f t="shared" ref="AB6:AB37" si="7">K6*(W6/Radius_at_L201)</f>
        <v>3776.9456896551724</v>
      </c>
      <c r="AC6" s="57">
        <f t="shared" ref="AC6:AC37" si="8">L6*(W6/Radius_at_L201)</f>
        <v>6043.113103448276</v>
      </c>
      <c r="AD6" s="47">
        <v>2313</v>
      </c>
      <c r="AE6" s="67">
        <f>AD6+672</f>
        <v>2985</v>
      </c>
      <c r="AF6" s="47">
        <f>AG6+636</f>
        <v>3983</v>
      </c>
      <c r="AG6" s="47">
        <v>3347</v>
      </c>
      <c r="AH6" s="53" t="s">
        <v>166</v>
      </c>
      <c r="AI6" s="53" t="s">
        <v>166</v>
      </c>
      <c r="AJ6" s="53" t="s">
        <v>166</v>
      </c>
      <c r="AK6" s="53" t="s">
        <v>166</v>
      </c>
      <c r="AL6" s="56">
        <v>285</v>
      </c>
      <c r="AM6" s="56">
        <v>242.91</v>
      </c>
      <c r="AN6" s="53">
        <v>10134</v>
      </c>
      <c r="AO6" s="53">
        <v>10134</v>
      </c>
      <c r="AP6" s="44">
        <f>AL6+AN6</f>
        <v>10419</v>
      </c>
      <c r="AQ6" s="53">
        <f>AM6+AO6</f>
        <v>10376.91</v>
      </c>
      <c r="AR6" s="47">
        <v>283</v>
      </c>
      <c r="AS6" s="47">
        <v>283</v>
      </c>
      <c r="AT6" s="44">
        <f>AR6+AN6</f>
        <v>10417</v>
      </c>
      <c r="AU6" s="53">
        <f>AS6+AO6</f>
        <v>10417</v>
      </c>
    </row>
    <row r="7" spans="1:131" x14ac:dyDescent="0.25">
      <c r="A7" s="45" t="str">
        <f>A6</f>
        <v>Pier4</v>
      </c>
      <c r="B7" s="45" t="str">
        <f>B6</f>
        <v>West Web</v>
      </c>
      <c r="C7" t="s">
        <v>19</v>
      </c>
      <c r="D7" s="53" t="str">
        <f t="shared" ref="D7:D70" si="9">A7&amp;B7&amp;C7</f>
        <v>Pier4West WebT02</v>
      </c>
      <c r="E7" s="56">
        <f t="shared" ref="E7:F70" si="10">AP7</f>
        <v>9849</v>
      </c>
      <c r="F7" s="56">
        <f t="shared" si="10"/>
        <v>9816.91</v>
      </c>
      <c r="G7" s="46">
        <f t="shared" ref="G7:G70" si="11">3750+4500</f>
        <v>8250</v>
      </c>
      <c r="H7" s="53">
        <v>6000</v>
      </c>
      <c r="I7" s="54">
        <v>0</v>
      </c>
      <c r="J7" s="54">
        <v>0</v>
      </c>
      <c r="K7" s="46">
        <f t="shared" ref="K7:K70" si="12">I7*4500+G7</f>
        <v>8250</v>
      </c>
      <c r="L7" s="46">
        <f t="shared" ref="L7:L70" si="13">J7*4500+H7</f>
        <v>6000</v>
      </c>
      <c r="M7">
        <v>0</v>
      </c>
      <c r="N7" s="53">
        <v>0</v>
      </c>
      <c r="O7">
        <v>0</v>
      </c>
      <c r="P7" s="53">
        <v>0</v>
      </c>
      <c r="Q7">
        <v>-1705</v>
      </c>
      <c r="R7">
        <v>-1705</v>
      </c>
      <c r="S7">
        <v>-1519</v>
      </c>
      <c r="T7">
        <v>-1519</v>
      </c>
      <c r="U7" s="47">
        <f t="shared" ref="U7:V70" si="14">AT7</f>
        <v>9847</v>
      </c>
      <c r="V7" s="47">
        <f t="shared" si="14"/>
        <v>9847</v>
      </c>
      <c r="W7" s="53">
        <f t="shared" si="4"/>
        <v>1459849</v>
      </c>
      <c r="X7" s="71">
        <f t="shared" ref="X7:X37" si="15">(G7+4500*M7)*(W7/Radius_at_L201)+Q7</f>
        <v>6601.037413793103</v>
      </c>
      <c r="Y7" s="71">
        <f t="shared" ref="Y7:Y37" si="16">(G7+4500*N7)*(W7/Radius_at_L201)+S7</f>
        <v>6787.037413793103</v>
      </c>
      <c r="Z7" s="47">
        <f t="shared" si="5"/>
        <v>4335.7544827586207</v>
      </c>
      <c r="AA7" s="57">
        <f t="shared" si="6"/>
        <v>4521.7544827586207</v>
      </c>
      <c r="AB7" s="56">
        <f t="shared" si="7"/>
        <v>8306.037413793103</v>
      </c>
      <c r="AC7" s="57">
        <f t="shared" si="8"/>
        <v>6040.7544827586207</v>
      </c>
      <c r="AD7" s="47">
        <f>4500*$W7/Radius_at_L201-AH7</f>
        <v>3716.5658620689655</v>
      </c>
      <c r="AE7" s="67">
        <f>4500*$W7/Radius_at_L201-AI7</f>
        <v>4227.5658620689655</v>
      </c>
      <c r="AF7" s="47">
        <v>3781</v>
      </c>
      <c r="AG7" s="47">
        <v>3201</v>
      </c>
      <c r="AH7" s="53">
        <v>814</v>
      </c>
      <c r="AI7" s="53">
        <v>303</v>
      </c>
      <c r="AJ7" s="53" t="s">
        <v>166</v>
      </c>
      <c r="AK7" s="53" t="s">
        <v>166</v>
      </c>
      <c r="AL7" s="56">
        <v>-285</v>
      </c>
      <c r="AM7" s="56">
        <v>-317.08999999999997</v>
      </c>
      <c r="AN7" s="53">
        <v>10134</v>
      </c>
      <c r="AO7" s="53">
        <v>10134</v>
      </c>
      <c r="AP7" s="53">
        <f t="shared" ref="AP7:AQ70" si="17">AL7+AN7</f>
        <v>9849</v>
      </c>
      <c r="AQ7" s="53">
        <f t="shared" si="17"/>
        <v>9816.91</v>
      </c>
      <c r="AR7" s="47">
        <v>-287</v>
      </c>
      <c r="AS7" s="47">
        <v>-287</v>
      </c>
      <c r="AT7" s="53">
        <f t="shared" ref="AT7:AU70" si="18">AR7+AN7</f>
        <v>9847</v>
      </c>
      <c r="AU7" s="53">
        <f t="shared" si="18"/>
        <v>9847</v>
      </c>
      <c r="BA7" s="53"/>
    </row>
    <row r="8" spans="1:131" x14ac:dyDescent="0.25">
      <c r="A8" s="45" t="str">
        <f>A7</f>
        <v>Pier4</v>
      </c>
      <c r="B8" s="45" t="str">
        <f>B7</f>
        <v>West Web</v>
      </c>
      <c r="C8" t="s">
        <v>20</v>
      </c>
      <c r="D8" s="53" t="str">
        <f t="shared" si="9"/>
        <v>Pier4West WebT03</v>
      </c>
      <c r="E8" s="56">
        <f t="shared" si="10"/>
        <v>10704</v>
      </c>
      <c r="F8" s="56">
        <f t="shared" si="10"/>
        <v>10376.91</v>
      </c>
      <c r="G8" s="46">
        <f t="shared" si="11"/>
        <v>8250</v>
      </c>
      <c r="H8" s="53">
        <v>6000</v>
      </c>
      <c r="I8" s="54">
        <v>0</v>
      </c>
      <c r="J8" s="54">
        <f>J6+1</f>
        <v>1</v>
      </c>
      <c r="K8" s="46">
        <f t="shared" si="12"/>
        <v>8250</v>
      </c>
      <c r="L8" s="46">
        <f t="shared" si="13"/>
        <v>10500</v>
      </c>
      <c r="M8">
        <v>-1</v>
      </c>
      <c r="N8" s="53">
        <v>-1</v>
      </c>
      <c r="O8">
        <v>0</v>
      </c>
      <c r="P8" s="53">
        <v>0</v>
      </c>
      <c r="Q8">
        <v>-1178</v>
      </c>
      <c r="R8">
        <v>192</v>
      </c>
      <c r="S8">
        <v>-559</v>
      </c>
      <c r="T8">
        <v>1032</v>
      </c>
      <c r="U8" s="47">
        <f t="shared" si="14"/>
        <v>10685</v>
      </c>
      <c r="V8" s="47">
        <f t="shared" si="14"/>
        <v>10669</v>
      </c>
      <c r="W8" s="53">
        <f t="shared" si="4"/>
        <v>1460704</v>
      </c>
      <c r="X8" s="71">
        <f t="shared" si="15"/>
        <v>2599.68275862069</v>
      </c>
      <c r="Y8" s="71">
        <f t="shared" si="16"/>
        <v>3218.68275862069</v>
      </c>
      <c r="Z8" s="47">
        <f t="shared" si="5"/>
        <v>6236.2924137931041</v>
      </c>
      <c r="AA8" s="57">
        <f t="shared" si="6"/>
        <v>7076.2924137931041</v>
      </c>
      <c r="AB8" s="56">
        <f t="shared" si="7"/>
        <v>8310.9020689655172</v>
      </c>
      <c r="AC8" s="57">
        <f t="shared" si="8"/>
        <v>10577.511724137932</v>
      </c>
      <c r="AD8" s="47">
        <f t="shared" ref="AD8:AD30" si="19">4500*$W8/Radius_at_L201-AH8</f>
        <v>2633.2193103448271</v>
      </c>
      <c r="AE8" s="67">
        <f t="shared" ref="AE8:AE30" si="20">4500*$W8/Radius_at_L201-AI8</f>
        <v>3305.2193103448271</v>
      </c>
      <c r="AF8" s="47">
        <f t="shared" ref="AF8:AF30" si="21">4500*$W8/Radius_at_L201-AJ8</f>
        <v>4216.2193103448271</v>
      </c>
      <c r="AG8" s="47">
        <f t="shared" ref="AG8:AG30" si="22">4500*$W8/Radius_at_L201-AK8</f>
        <v>3715.2193103448271</v>
      </c>
      <c r="AH8" s="53">
        <v>1900</v>
      </c>
      <c r="AI8" s="53">
        <v>1228</v>
      </c>
      <c r="AJ8">
        <v>317</v>
      </c>
      <c r="AK8">
        <v>818</v>
      </c>
      <c r="AL8" s="56">
        <v>570</v>
      </c>
      <c r="AM8" s="56">
        <v>242.91</v>
      </c>
      <c r="AN8" s="53">
        <v>10134</v>
      </c>
      <c r="AO8" s="53">
        <v>10134</v>
      </c>
      <c r="AP8" s="53">
        <f t="shared" si="17"/>
        <v>10704</v>
      </c>
      <c r="AQ8" s="53">
        <f t="shared" si="17"/>
        <v>10376.91</v>
      </c>
      <c r="AR8" s="47">
        <v>551</v>
      </c>
      <c r="AS8" s="47">
        <v>535</v>
      </c>
      <c r="AT8" s="53">
        <f t="shared" si="18"/>
        <v>10685</v>
      </c>
      <c r="AU8" s="53">
        <f t="shared" si="18"/>
        <v>10669</v>
      </c>
      <c r="BA8" s="53"/>
      <c r="DK8" t="s">
        <v>287</v>
      </c>
      <c r="DL8" t="s">
        <v>288</v>
      </c>
      <c r="DM8" t="s">
        <v>289</v>
      </c>
      <c r="DN8" t="s">
        <v>290</v>
      </c>
      <c r="DO8" t="s">
        <v>291</v>
      </c>
      <c r="DP8" t="s">
        <v>292</v>
      </c>
      <c r="DQ8" t="s">
        <v>293</v>
      </c>
      <c r="DR8" t="s">
        <v>294</v>
      </c>
      <c r="DS8" t="s">
        <v>295</v>
      </c>
      <c r="DT8" t="s">
        <v>296</v>
      </c>
      <c r="DU8" t="s">
        <v>297</v>
      </c>
      <c r="DV8" t="s">
        <v>298</v>
      </c>
      <c r="DW8" t="s">
        <v>299</v>
      </c>
      <c r="DX8" t="s">
        <v>300</v>
      </c>
      <c r="DY8" t="s">
        <v>301</v>
      </c>
      <c r="DZ8" t="s">
        <v>302</v>
      </c>
      <c r="EA8" t="s">
        <v>303</v>
      </c>
    </row>
    <row r="9" spans="1:131" x14ac:dyDescent="0.25">
      <c r="A9" s="45" t="str">
        <f t="shared" ref="A9:A72" si="23">A8</f>
        <v>Pier4</v>
      </c>
      <c r="B9" s="45" t="str">
        <f t="shared" ref="B9:B72" si="24">B8</f>
        <v>West Web</v>
      </c>
      <c r="C9" t="s">
        <v>21</v>
      </c>
      <c r="D9" s="53" t="str">
        <f t="shared" si="9"/>
        <v>Pier4West WebT04</v>
      </c>
      <c r="E9" s="56">
        <f t="shared" si="10"/>
        <v>9564</v>
      </c>
      <c r="F9" s="56">
        <f t="shared" si="10"/>
        <v>9816.91</v>
      </c>
      <c r="G9" s="46">
        <f t="shared" si="11"/>
        <v>8250</v>
      </c>
      <c r="H9" s="53">
        <v>6000</v>
      </c>
      <c r="I9" s="54">
        <v>1</v>
      </c>
      <c r="J9" s="54">
        <f t="shared" ref="J9:J30" si="25">J7+1</f>
        <v>1</v>
      </c>
      <c r="K9" s="46">
        <f t="shared" si="12"/>
        <v>12750</v>
      </c>
      <c r="L9" s="46">
        <f t="shared" si="13"/>
        <v>10500</v>
      </c>
      <c r="M9">
        <v>0</v>
      </c>
      <c r="N9" s="53">
        <v>0</v>
      </c>
      <c r="O9">
        <v>0</v>
      </c>
      <c r="P9" s="53">
        <v>0</v>
      </c>
      <c r="Q9">
        <v>1254</v>
      </c>
      <c r="R9">
        <v>1254</v>
      </c>
      <c r="S9">
        <v>2141</v>
      </c>
      <c r="T9">
        <v>2141</v>
      </c>
      <c r="U9" s="47">
        <f t="shared" si="14"/>
        <v>9604</v>
      </c>
      <c r="V9" s="47">
        <f t="shared" si="14"/>
        <v>9604</v>
      </c>
      <c r="W9" s="53">
        <f t="shared" si="4"/>
        <v>1459564</v>
      </c>
      <c r="X9" s="71">
        <f t="shared" si="15"/>
        <v>9558.415862068965</v>
      </c>
      <c r="Y9" s="71">
        <f t="shared" si="16"/>
        <v>10445.415862068965</v>
      </c>
      <c r="Z9" s="47">
        <f t="shared" si="5"/>
        <v>7293.5751724137926</v>
      </c>
      <c r="AA9" s="57">
        <f t="shared" si="6"/>
        <v>8180.5751724137926</v>
      </c>
      <c r="AB9" s="56">
        <f t="shared" si="7"/>
        <v>12834.09724137931</v>
      </c>
      <c r="AC9" s="57">
        <f t="shared" si="8"/>
        <v>10569.256551724136</v>
      </c>
      <c r="AD9" s="47">
        <f t="shared" si="19"/>
        <v>3094.6813793103447</v>
      </c>
      <c r="AE9" s="67">
        <f t="shared" si="20"/>
        <v>3690.6813793103447</v>
      </c>
      <c r="AF9" s="47">
        <f t="shared" si="21"/>
        <v>3318.6813793103447</v>
      </c>
      <c r="AG9" s="47">
        <f t="shared" si="22"/>
        <v>2654.6813793103447</v>
      </c>
      <c r="AH9" s="53">
        <v>1435</v>
      </c>
      <c r="AI9" s="53">
        <v>839</v>
      </c>
      <c r="AJ9">
        <v>1211</v>
      </c>
      <c r="AK9">
        <v>1875</v>
      </c>
      <c r="AL9" s="56">
        <v>-570</v>
      </c>
      <c r="AM9" s="56">
        <v>-317.08999999999997</v>
      </c>
      <c r="AN9" s="53">
        <v>10134</v>
      </c>
      <c r="AO9" s="53">
        <v>10134</v>
      </c>
      <c r="AP9" s="53">
        <f t="shared" si="17"/>
        <v>9564</v>
      </c>
      <c r="AQ9" s="53">
        <f t="shared" si="17"/>
        <v>9816.91</v>
      </c>
      <c r="AR9" s="47">
        <v>-530</v>
      </c>
      <c r="AS9" s="47">
        <v>-530</v>
      </c>
      <c r="AT9" s="53">
        <f t="shared" si="18"/>
        <v>9604</v>
      </c>
      <c r="AU9" s="53">
        <f t="shared" si="18"/>
        <v>9604</v>
      </c>
      <c r="BA9" s="53"/>
    </row>
    <row r="10" spans="1:131" x14ac:dyDescent="0.25">
      <c r="A10" s="45" t="str">
        <f t="shared" si="23"/>
        <v>Pier4</v>
      </c>
      <c r="B10" s="45" t="str">
        <f t="shared" si="24"/>
        <v>West Web</v>
      </c>
      <c r="C10" t="s">
        <v>22</v>
      </c>
      <c r="D10" s="53" t="str">
        <f t="shared" si="9"/>
        <v>Pier4West WebT05</v>
      </c>
      <c r="E10" s="56">
        <f t="shared" si="10"/>
        <v>10904</v>
      </c>
      <c r="F10" s="56">
        <f t="shared" si="10"/>
        <v>10376.91</v>
      </c>
      <c r="G10" s="46">
        <f t="shared" si="11"/>
        <v>8250</v>
      </c>
      <c r="H10" s="53">
        <v>6000</v>
      </c>
      <c r="I10" s="54">
        <v>1</v>
      </c>
      <c r="J10" s="54">
        <f t="shared" si="25"/>
        <v>2</v>
      </c>
      <c r="K10" s="46">
        <f t="shared" si="12"/>
        <v>12750</v>
      </c>
      <c r="L10" s="46">
        <f t="shared" si="13"/>
        <v>15000</v>
      </c>
      <c r="M10">
        <v>-1</v>
      </c>
      <c r="N10" s="53">
        <v>-1</v>
      </c>
      <c r="O10">
        <v>1</v>
      </c>
      <c r="P10" s="53">
        <v>1</v>
      </c>
      <c r="Q10">
        <v>168</v>
      </c>
      <c r="R10">
        <v>-2173</v>
      </c>
      <c r="S10">
        <v>809</v>
      </c>
      <c r="T10">
        <v>-1317</v>
      </c>
      <c r="U10" s="47">
        <f t="shared" si="14"/>
        <v>10883</v>
      </c>
      <c r="V10" s="47">
        <f t="shared" si="14"/>
        <v>10867</v>
      </c>
      <c r="W10" s="53">
        <f t="shared" si="4"/>
        <v>1460904</v>
      </c>
      <c r="X10" s="71">
        <f t="shared" si="15"/>
        <v>3946.2</v>
      </c>
      <c r="Y10" s="71">
        <f t="shared" si="16"/>
        <v>4587.2</v>
      </c>
      <c r="Z10" s="47">
        <f t="shared" si="5"/>
        <v>8405.9599999999991</v>
      </c>
      <c r="AA10" s="57">
        <f t="shared" si="6"/>
        <v>9261.9599999999991</v>
      </c>
      <c r="AB10" s="56">
        <f t="shared" si="7"/>
        <v>12845.88</v>
      </c>
      <c r="AC10" s="57">
        <f t="shared" si="8"/>
        <v>15112.8</v>
      </c>
      <c r="AD10" s="47">
        <f t="shared" si="19"/>
        <v>2633.84</v>
      </c>
      <c r="AE10" s="67">
        <f t="shared" si="20"/>
        <v>3305.84</v>
      </c>
      <c r="AF10" s="47">
        <f t="shared" si="21"/>
        <v>4216.84</v>
      </c>
      <c r="AG10" s="47">
        <f t="shared" si="22"/>
        <v>3715.84</v>
      </c>
      <c r="AH10" s="53">
        <v>1900</v>
      </c>
      <c r="AI10" s="53">
        <v>1228</v>
      </c>
      <c r="AJ10">
        <v>317</v>
      </c>
      <c r="AK10">
        <v>818</v>
      </c>
      <c r="AL10" s="56">
        <v>770</v>
      </c>
      <c r="AM10" s="56">
        <v>242.91</v>
      </c>
      <c r="AN10" s="53">
        <v>10134</v>
      </c>
      <c r="AO10" s="53">
        <v>10134</v>
      </c>
      <c r="AP10" s="53">
        <f t="shared" si="17"/>
        <v>10904</v>
      </c>
      <c r="AQ10" s="53">
        <f t="shared" si="17"/>
        <v>10376.91</v>
      </c>
      <c r="AR10" s="47">
        <v>749</v>
      </c>
      <c r="AS10" s="47">
        <v>733</v>
      </c>
      <c r="AT10" s="53">
        <f t="shared" si="18"/>
        <v>10883</v>
      </c>
      <c r="AU10" s="53">
        <f t="shared" si="18"/>
        <v>10867</v>
      </c>
      <c r="BA10" s="53"/>
    </row>
    <row r="11" spans="1:131" x14ac:dyDescent="0.25">
      <c r="A11" s="45" t="str">
        <f t="shared" si="23"/>
        <v>Pier4</v>
      </c>
      <c r="B11" s="45" t="str">
        <f t="shared" si="24"/>
        <v>West Web</v>
      </c>
      <c r="C11" t="s">
        <v>23</v>
      </c>
      <c r="D11" s="53" t="str">
        <f t="shared" si="9"/>
        <v>Pier4West WebT06</v>
      </c>
      <c r="E11" s="56">
        <f t="shared" si="10"/>
        <v>9364</v>
      </c>
      <c r="F11" s="56">
        <f t="shared" si="10"/>
        <v>9816.91</v>
      </c>
      <c r="G11" s="46">
        <f t="shared" si="11"/>
        <v>8250</v>
      </c>
      <c r="H11" s="53">
        <v>6000</v>
      </c>
      <c r="I11" s="54">
        <f>I9+1</f>
        <v>2</v>
      </c>
      <c r="J11" s="54">
        <f t="shared" si="25"/>
        <v>2</v>
      </c>
      <c r="K11" s="46">
        <f t="shared" si="12"/>
        <v>17250</v>
      </c>
      <c r="L11" s="46">
        <f t="shared" si="13"/>
        <v>15000</v>
      </c>
      <c r="M11">
        <v>1</v>
      </c>
      <c r="N11" s="53">
        <v>1</v>
      </c>
      <c r="O11">
        <v>1</v>
      </c>
      <c r="P11" s="53">
        <v>1</v>
      </c>
      <c r="Q11">
        <v>-996</v>
      </c>
      <c r="R11">
        <v>-995</v>
      </c>
      <c r="S11">
        <v>-124</v>
      </c>
      <c r="T11">
        <v>-124</v>
      </c>
      <c r="U11" s="47">
        <f t="shared" si="14"/>
        <v>9403</v>
      </c>
      <c r="V11" s="47">
        <f t="shared" si="14"/>
        <v>9403</v>
      </c>
      <c r="W11" s="53">
        <f t="shared" si="4"/>
        <v>1459364</v>
      </c>
      <c r="X11" s="71">
        <f t="shared" si="15"/>
        <v>11836.338620689656</v>
      </c>
      <c r="Y11" s="71">
        <f t="shared" si="16"/>
        <v>12708.338620689656</v>
      </c>
      <c r="Z11" s="47">
        <f t="shared" si="5"/>
        <v>9572.8082758620694</v>
      </c>
      <c r="AA11" s="57">
        <f t="shared" si="6"/>
        <v>10443.808275862069</v>
      </c>
      <c r="AB11" s="56">
        <f t="shared" si="7"/>
        <v>17361.399310344827</v>
      </c>
      <c r="AC11" s="57">
        <f t="shared" si="8"/>
        <v>15096.868965517242</v>
      </c>
      <c r="AD11" s="47">
        <f t="shared" si="19"/>
        <v>3094.0606896551726</v>
      </c>
      <c r="AE11" s="67">
        <f t="shared" si="20"/>
        <v>3690.0606896551726</v>
      </c>
      <c r="AF11" s="47">
        <f t="shared" si="21"/>
        <v>3318.0606896551726</v>
      </c>
      <c r="AG11" s="47">
        <f t="shared" si="22"/>
        <v>2654.0606896551726</v>
      </c>
      <c r="AH11" s="53">
        <v>1435</v>
      </c>
      <c r="AI11" s="53">
        <v>839</v>
      </c>
      <c r="AJ11">
        <v>1211</v>
      </c>
      <c r="AK11">
        <v>1875</v>
      </c>
      <c r="AL11" s="56">
        <v>-770</v>
      </c>
      <c r="AM11" s="56">
        <v>-317.08999999999997</v>
      </c>
      <c r="AN11" s="53">
        <v>10134</v>
      </c>
      <c r="AO11" s="53">
        <v>10134</v>
      </c>
      <c r="AP11" s="53">
        <f t="shared" si="17"/>
        <v>9364</v>
      </c>
      <c r="AQ11" s="53">
        <f t="shared" si="17"/>
        <v>9816.91</v>
      </c>
      <c r="AR11" s="47">
        <v>-731</v>
      </c>
      <c r="AS11" s="47">
        <v>-731</v>
      </c>
      <c r="AT11" s="53">
        <f t="shared" si="18"/>
        <v>9403</v>
      </c>
      <c r="AU11" s="53">
        <f t="shared" si="18"/>
        <v>9403</v>
      </c>
      <c r="BA11" s="53"/>
    </row>
    <row r="12" spans="1:131" x14ac:dyDescent="0.25">
      <c r="A12" s="45" t="str">
        <f t="shared" si="23"/>
        <v>Pier4</v>
      </c>
      <c r="B12" s="45" t="str">
        <f t="shared" si="24"/>
        <v>West Web</v>
      </c>
      <c r="C12" t="s">
        <v>24</v>
      </c>
      <c r="D12" s="53" t="str">
        <f t="shared" si="9"/>
        <v>Pier4West WebT07</v>
      </c>
      <c r="E12" s="56">
        <f t="shared" si="10"/>
        <v>11104</v>
      </c>
      <c r="F12" s="56">
        <f t="shared" si="10"/>
        <v>10376.91</v>
      </c>
      <c r="G12" s="46">
        <f t="shared" si="11"/>
        <v>8250</v>
      </c>
      <c r="H12" s="53">
        <v>6000</v>
      </c>
      <c r="I12" s="54">
        <f t="shared" ref="I12:I30" si="26">I10+1</f>
        <v>2</v>
      </c>
      <c r="J12" s="54">
        <f t="shared" si="25"/>
        <v>3</v>
      </c>
      <c r="K12" s="46">
        <f t="shared" si="12"/>
        <v>17250</v>
      </c>
      <c r="L12" s="46">
        <f t="shared" si="13"/>
        <v>19500</v>
      </c>
      <c r="M12">
        <v>-1</v>
      </c>
      <c r="N12" s="53">
        <v>-1</v>
      </c>
      <c r="O12">
        <v>1</v>
      </c>
      <c r="P12" s="53">
        <v>1</v>
      </c>
      <c r="Q12">
        <v>1619</v>
      </c>
      <c r="R12">
        <v>39</v>
      </c>
      <c r="S12">
        <v>2281</v>
      </c>
      <c r="T12">
        <v>911</v>
      </c>
      <c r="U12" s="47">
        <f t="shared" si="14"/>
        <v>11082</v>
      </c>
      <c r="V12" s="47">
        <f t="shared" si="14"/>
        <v>11066</v>
      </c>
      <c r="W12" s="53">
        <f t="shared" si="4"/>
        <v>1461104</v>
      </c>
      <c r="X12" s="71">
        <f t="shared" si="15"/>
        <v>5397.7172413793105</v>
      </c>
      <c r="Y12" s="71">
        <f t="shared" si="16"/>
        <v>6059.7172413793105</v>
      </c>
      <c r="Z12" s="47">
        <f t="shared" si="5"/>
        <v>10619.40827586207</v>
      </c>
      <c r="AA12" s="57">
        <f t="shared" si="6"/>
        <v>11491.40827586207</v>
      </c>
      <c r="AB12" s="56">
        <f t="shared" si="7"/>
        <v>17382.099310344831</v>
      </c>
      <c r="AC12" s="57">
        <f t="shared" si="8"/>
        <v>19649.329655172416</v>
      </c>
      <c r="AD12" s="47">
        <f t="shared" si="19"/>
        <v>2634.4606896551722</v>
      </c>
      <c r="AE12" s="67">
        <f t="shared" si="20"/>
        <v>3306.4606896551722</v>
      </c>
      <c r="AF12" s="47">
        <f t="shared" si="21"/>
        <v>4217.4606896551722</v>
      </c>
      <c r="AG12" s="47">
        <f t="shared" si="22"/>
        <v>3716.4606896551722</v>
      </c>
      <c r="AH12" s="53">
        <v>1900</v>
      </c>
      <c r="AI12" s="53">
        <v>1228</v>
      </c>
      <c r="AJ12">
        <v>317</v>
      </c>
      <c r="AK12">
        <v>818</v>
      </c>
      <c r="AL12" s="56">
        <v>970</v>
      </c>
      <c r="AM12" s="56">
        <v>242.91</v>
      </c>
      <c r="AN12" s="53">
        <v>10134</v>
      </c>
      <c r="AO12" s="53">
        <v>10134</v>
      </c>
      <c r="AP12" s="53">
        <f t="shared" si="17"/>
        <v>11104</v>
      </c>
      <c r="AQ12" s="53">
        <f t="shared" si="17"/>
        <v>10376.91</v>
      </c>
      <c r="AR12" s="47">
        <v>948</v>
      </c>
      <c r="AS12" s="47">
        <v>932</v>
      </c>
      <c r="AT12" s="53">
        <f t="shared" si="18"/>
        <v>11082</v>
      </c>
      <c r="AU12" s="53">
        <f t="shared" si="18"/>
        <v>11066</v>
      </c>
      <c r="BA12" s="53"/>
    </row>
    <row r="13" spans="1:131" x14ac:dyDescent="0.25">
      <c r="A13" s="45" t="str">
        <f t="shared" si="23"/>
        <v>Pier4</v>
      </c>
      <c r="B13" s="45" t="str">
        <f t="shared" si="24"/>
        <v>West Web</v>
      </c>
      <c r="C13" t="s">
        <v>25</v>
      </c>
      <c r="D13" s="53" t="str">
        <f t="shared" si="9"/>
        <v>Pier4West WebT08</v>
      </c>
      <c r="E13" s="56">
        <f t="shared" si="10"/>
        <v>9164</v>
      </c>
      <c r="F13" s="56">
        <f t="shared" si="10"/>
        <v>9816.91</v>
      </c>
      <c r="G13" s="46">
        <f t="shared" si="11"/>
        <v>8250</v>
      </c>
      <c r="H13" s="53">
        <v>6000</v>
      </c>
      <c r="I13" s="54">
        <f t="shared" si="26"/>
        <v>3</v>
      </c>
      <c r="J13" s="54">
        <f t="shared" si="25"/>
        <v>3</v>
      </c>
      <c r="K13" s="46">
        <f t="shared" si="12"/>
        <v>21750</v>
      </c>
      <c r="L13" s="46">
        <f t="shared" si="13"/>
        <v>19500</v>
      </c>
      <c r="M13">
        <v>1</v>
      </c>
      <c r="N13" s="53">
        <v>1</v>
      </c>
      <c r="O13">
        <v>1</v>
      </c>
      <c r="P13" s="53">
        <v>1</v>
      </c>
      <c r="Q13">
        <v>1243</v>
      </c>
      <c r="R13">
        <v>1243</v>
      </c>
      <c r="S13">
        <v>2099</v>
      </c>
      <c r="T13">
        <v>2099</v>
      </c>
      <c r="U13" s="47">
        <f t="shared" si="14"/>
        <v>9202</v>
      </c>
      <c r="V13" s="47">
        <f t="shared" si="14"/>
        <v>9202</v>
      </c>
      <c r="W13" s="53">
        <f t="shared" si="4"/>
        <v>1459164</v>
      </c>
      <c r="X13" s="71">
        <f t="shared" si="15"/>
        <v>14073.580000000002</v>
      </c>
      <c r="Y13" s="71">
        <f t="shared" si="16"/>
        <v>14929.580000000002</v>
      </c>
      <c r="Z13" s="47">
        <f t="shared" si="5"/>
        <v>11809.36</v>
      </c>
      <c r="AA13" s="57">
        <f t="shared" si="6"/>
        <v>12665.36</v>
      </c>
      <c r="AB13" s="56">
        <f t="shared" si="7"/>
        <v>21887.460000000003</v>
      </c>
      <c r="AC13" s="57">
        <f t="shared" si="8"/>
        <v>19623.240000000002</v>
      </c>
      <c r="AD13" s="47">
        <f t="shared" si="19"/>
        <v>3093.4399999999996</v>
      </c>
      <c r="AE13" s="67">
        <f t="shared" si="20"/>
        <v>3689.4399999999996</v>
      </c>
      <c r="AF13" s="47">
        <f t="shared" si="21"/>
        <v>3317.4399999999996</v>
      </c>
      <c r="AG13" s="47">
        <f t="shared" si="22"/>
        <v>2653.4399999999996</v>
      </c>
      <c r="AH13" s="53">
        <v>1435</v>
      </c>
      <c r="AI13" s="53">
        <v>839</v>
      </c>
      <c r="AJ13">
        <v>1211</v>
      </c>
      <c r="AK13">
        <v>1875</v>
      </c>
      <c r="AL13" s="56">
        <v>-970</v>
      </c>
      <c r="AM13" s="56">
        <v>-317.08999999999997</v>
      </c>
      <c r="AN13" s="53">
        <v>10134</v>
      </c>
      <c r="AO13" s="53">
        <v>10134</v>
      </c>
      <c r="AP13" s="53">
        <f t="shared" si="17"/>
        <v>9164</v>
      </c>
      <c r="AQ13" s="53">
        <f t="shared" si="17"/>
        <v>9816.91</v>
      </c>
      <c r="AR13" s="47">
        <v>-932</v>
      </c>
      <c r="AS13" s="47">
        <v>-932</v>
      </c>
      <c r="AT13" s="53">
        <f t="shared" si="18"/>
        <v>9202</v>
      </c>
      <c r="AU13" s="53">
        <f t="shared" si="18"/>
        <v>9202</v>
      </c>
      <c r="BA13" s="53"/>
    </row>
    <row r="14" spans="1:131" x14ac:dyDescent="0.25">
      <c r="A14" s="45" t="str">
        <f t="shared" si="23"/>
        <v>Pier4</v>
      </c>
      <c r="B14" s="45" t="str">
        <f t="shared" si="24"/>
        <v>West Web</v>
      </c>
      <c r="C14" t="s">
        <v>26</v>
      </c>
      <c r="D14" s="53" t="str">
        <f t="shared" si="9"/>
        <v>Pier4West WebT09</v>
      </c>
      <c r="E14" s="56">
        <f t="shared" si="10"/>
        <v>11304</v>
      </c>
      <c r="F14" s="56">
        <f t="shared" si="10"/>
        <v>10376.91</v>
      </c>
      <c r="G14" s="46">
        <f t="shared" si="11"/>
        <v>8250</v>
      </c>
      <c r="H14" s="53">
        <v>6000</v>
      </c>
      <c r="I14" s="54">
        <f t="shared" si="26"/>
        <v>3</v>
      </c>
      <c r="J14" s="54">
        <f t="shared" si="25"/>
        <v>4</v>
      </c>
      <c r="K14" s="46">
        <f t="shared" si="12"/>
        <v>21750</v>
      </c>
      <c r="L14" s="46">
        <f t="shared" si="13"/>
        <v>24000</v>
      </c>
      <c r="M14">
        <v>0</v>
      </c>
      <c r="N14" s="53">
        <v>0</v>
      </c>
      <c r="O14">
        <v>2</v>
      </c>
      <c r="P14" s="53">
        <v>2</v>
      </c>
      <c r="Q14">
        <v>-1368</v>
      </c>
      <c r="R14">
        <v>-2240</v>
      </c>
      <c r="S14">
        <v>-685</v>
      </c>
      <c r="T14">
        <v>-1353</v>
      </c>
      <c r="U14" s="47">
        <f t="shared" si="14"/>
        <v>11280</v>
      </c>
      <c r="V14" s="47">
        <f t="shared" si="14"/>
        <v>11264</v>
      </c>
      <c r="W14" s="53">
        <f t="shared" si="4"/>
        <v>1461304</v>
      </c>
      <c r="X14" s="71">
        <f t="shared" si="15"/>
        <v>6946.3158620689665</v>
      </c>
      <c r="Y14" s="71">
        <f t="shared" si="16"/>
        <v>7629.3158620689665</v>
      </c>
      <c r="Z14" s="47">
        <f t="shared" si="5"/>
        <v>12876.937931034483</v>
      </c>
      <c r="AA14" s="57">
        <f t="shared" si="6"/>
        <v>13763.937931034483</v>
      </c>
      <c r="AB14" s="56">
        <f t="shared" si="7"/>
        <v>21919.56</v>
      </c>
      <c r="AC14" s="57">
        <f t="shared" si="8"/>
        <v>24187.100689655173</v>
      </c>
      <c r="AD14" s="47">
        <f t="shared" si="19"/>
        <v>2635.0813793103453</v>
      </c>
      <c r="AE14" s="67">
        <f t="shared" si="20"/>
        <v>3307.0813793103453</v>
      </c>
      <c r="AF14" s="47">
        <f t="shared" si="21"/>
        <v>4218.0813793103453</v>
      </c>
      <c r="AG14" s="47">
        <f t="shared" si="22"/>
        <v>3717.0813793103453</v>
      </c>
      <c r="AH14" s="53">
        <v>1900</v>
      </c>
      <c r="AI14" s="53">
        <v>1228</v>
      </c>
      <c r="AJ14">
        <v>317</v>
      </c>
      <c r="AK14">
        <v>818</v>
      </c>
      <c r="AL14" s="56">
        <v>1170</v>
      </c>
      <c r="AM14" s="56">
        <v>242.91</v>
      </c>
      <c r="AN14" s="53">
        <v>10134</v>
      </c>
      <c r="AO14" s="53">
        <v>10134</v>
      </c>
      <c r="AP14" s="53">
        <f t="shared" si="17"/>
        <v>11304</v>
      </c>
      <c r="AQ14" s="53">
        <f t="shared" si="17"/>
        <v>10376.91</v>
      </c>
      <c r="AR14" s="47">
        <v>1146</v>
      </c>
      <c r="AS14" s="47">
        <v>1130</v>
      </c>
      <c r="AT14" s="53">
        <f t="shared" si="18"/>
        <v>11280</v>
      </c>
      <c r="AU14" s="53">
        <f t="shared" si="18"/>
        <v>11264</v>
      </c>
      <c r="BA14" s="53"/>
    </row>
    <row r="15" spans="1:131" x14ac:dyDescent="0.25">
      <c r="A15" s="45" t="str">
        <f t="shared" si="23"/>
        <v>Pier4</v>
      </c>
      <c r="B15" s="45" t="str">
        <f t="shared" si="24"/>
        <v>West Web</v>
      </c>
      <c r="C15" t="s">
        <v>27</v>
      </c>
      <c r="D15" s="53" t="str">
        <f t="shared" si="9"/>
        <v>Pier4West WebT10</v>
      </c>
      <c r="E15" s="56">
        <f t="shared" si="10"/>
        <v>8964</v>
      </c>
      <c r="F15" s="56">
        <f t="shared" si="10"/>
        <v>9816.91</v>
      </c>
      <c r="G15" s="46">
        <f t="shared" si="11"/>
        <v>8250</v>
      </c>
      <c r="H15" s="53">
        <v>6000</v>
      </c>
      <c r="I15" s="54">
        <f t="shared" si="26"/>
        <v>4</v>
      </c>
      <c r="J15" s="54">
        <f t="shared" si="25"/>
        <v>4</v>
      </c>
      <c r="K15" s="46">
        <f t="shared" si="12"/>
        <v>26250</v>
      </c>
      <c r="L15" s="46">
        <f t="shared" si="13"/>
        <v>24000</v>
      </c>
      <c r="M15">
        <v>2</v>
      </c>
      <c r="N15" s="53">
        <v>2</v>
      </c>
      <c r="O15">
        <v>2</v>
      </c>
      <c r="P15" s="53">
        <v>2</v>
      </c>
      <c r="Q15">
        <v>-1090</v>
      </c>
      <c r="R15">
        <v>-1090</v>
      </c>
      <c r="S15">
        <v>-251</v>
      </c>
      <c r="T15">
        <v>-250</v>
      </c>
      <c r="U15" s="47">
        <f t="shared" si="14"/>
        <v>9000</v>
      </c>
      <c r="V15" s="47">
        <f t="shared" si="14"/>
        <v>9000</v>
      </c>
      <c r="W15" s="53">
        <f t="shared" si="4"/>
        <v>1458964</v>
      </c>
      <c r="X15" s="71">
        <f t="shared" si="15"/>
        <v>16266.640689655171</v>
      </c>
      <c r="Y15" s="71">
        <f t="shared" si="16"/>
        <v>17105.640689655171</v>
      </c>
      <c r="Z15" s="47">
        <f t="shared" si="5"/>
        <v>14002.731034482758</v>
      </c>
      <c r="AA15" s="57">
        <f t="shared" si="6"/>
        <v>14842.731034482758</v>
      </c>
      <c r="AB15" s="56">
        <f t="shared" si="7"/>
        <v>26412.279310344828</v>
      </c>
      <c r="AC15" s="57">
        <f t="shared" si="8"/>
        <v>24148.369655172413</v>
      </c>
      <c r="AD15" s="47">
        <f t="shared" si="19"/>
        <v>3092.8193103448275</v>
      </c>
      <c r="AE15" s="67">
        <f t="shared" si="20"/>
        <v>3688.8193103448275</v>
      </c>
      <c r="AF15" s="47">
        <f t="shared" si="21"/>
        <v>3316.8193103448275</v>
      </c>
      <c r="AG15" s="47">
        <f t="shared" si="22"/>
        <v>2652.8193103448275</v>
      </c>
      <c r="AH15" s="53">
        <v>1435</v>
      </c>
      <c r="AI15" s="53">
        <v>839</v>
      </c>
      <c r="AJ15">
        <v>1211</v>
      </c>
      <c r="AK15">
        <v>1875</v>
      </c>
      <c r="AL15" s="56">
        <v>-1170</v>
      </c>
      <c r="AM15" s="56">
        <v>-317.08999999999997</v>
      </c>
      <c r="AN15" s="53">
        <v>10134</v>
      </c>
      <c r="AO15" s="53">
        <v>10134</v>
      </c>
      <c r="AP15" s="53">
        <f t="shared" si="17"/>
        <v>8964</v>
      </c>
      <c r="AQ15" s="53">
        <f t="shared" si="17"/>
        <v>9816.91</v>
      </c>
      <c r="AR15" s="47">
        <v>-1134</v>
      </c>
      <c r="AS15" s="47">
        <v>-1134</v>
      </c>
      <c r="AT15" s="53">
        <f t="shared" si="18"/>
        <v>9000</v>
      </c>
      <c r="AU15" s="53">
        <f t="shared" si="18"/>
        <v>9000</v>
      </c>
      <c r="BA15" s="53"/>
    </row>
    <row r="16" spans="1:131" x14ac:dyDescent="0.25">
      <c r="A16" s="45" t="str">
        <f t="shared" si="23"/>
        <v>Pier4</v>
      </c>
      <c r="B16" s="45" t="str">
        <f t="shared" si="24"/>
        <v>West Web</v>
      </c>
      <c r="C16" t="s">
        <v>28</v>
      </c>
      <c r="D16" s="53" t="str">
        <f t="shared" si="9"/>
        <v>Pier4West WebT11</v>
      </c>
      <c r="E16" s="56">
        <f t="shared" si="10"/>
        <v>11504</v>
      </c>
      <c r="F16" s="56">
        <f t="shared" si="10"/>
        <v>10376.91</v>
      </c>
      <c r="G16" s="46">
        <f t="shared" si="11"/>
        <v>8250</v>
      </c>
      <c r="H16" s="53">
        <v>6000</v>
      </c>
      <c r="I16" s="54">
        <f t="shared" si="26"/>
        <v>4</v>
      </c>
      <c r="J16" s="54">
        <f t="shared" si="25"/>
        <v>5</v>
      </c>
      <c r="K16" s="46">
        <f t="shared" si="12"/>
        <v>26250</v>
      </c>
      <c r="L16" s="46">
        <f t="shared" si="13"/>
        <v>28500</v>
      </c>
      <c r="M16">
        <v>0</v>
      </c>
      <c r="N16" s="53">
        <v>0</v>
      </c>
      <c r="O16">
        <v>2</v>
      </c>
      <c r="P16" s="53">
        <v>2</v>
      </c>
      <c r="Q16">
        <v>268</v>
      </c>
      <c r="R16">
        <v>55</v>
      </c>
      <c r="S16">
        <v>970</v>
      </c>
      <c r="T16">
        <v>985</v>
      </c>
      <c r="U16" s="47">
        <f t="shared" si="14"/>
        <v>11478</v>
      </c>
      <c r="V16" s="47">
        <f t="shared" si="14"/>
        <v>11462</v>
      </c>
      <c r="W16" s="53">
        <f t="shared" si="4"/>
        <v>1461504</v>
      </c>
      <c r="X16" s="71">
        <f t="shared" si="15"/>
        <v>8583.4537931034483</v>
      </c>
      <c r="Y16" s="71">
        <f t="shared" si="16"/>
        <v>9285.4537931034483</v>
      </c>
      <c r="Z16" s="47">
        <f t="shared" si="5"/>
        <v>15174.006896551724</v>
      </c>
      <c r="AA16" s="57">
        <f t="shared" si="6"/>
        <v>16104.006896551724</v>
      </c>
      <c r="AB16" s="56">
        <f t="shared" si="7"/>
        <v>26458.262068965516</v>
      </c>
      <c r="AC16" s="57">
        <f t="shared" si="8"/>
        <v>28726.113103448275</v>
      </c>
      <c r="AD16" s="47">
        <f t="shared" si="19"/>
        <v>2635.7020689655174</v>
      </c>
      <c r="AE16" s="67">
        <f t="shared" si="20"/>
        <v>3307.7020689655174</v>
      </c>
      <c r="AF16" s="47">
        <f t="shared" si="21"/>
        <v>4218.7020689655174</v>
      </c>
      <c r="AG16" s="47">
        <f t="shared" si="22"/>
        <v>3717.7020689655174</v>
      </c>
      <c r="AH16" s="53">
        <v>1900</v>
      </c>
      <c r="AI16" s="53">
        <v>1228</v>
      </c>
      <c r="AJ16">
        <v>317</v>
      </c>
      <c r="AK16">
        <v>818</v>
      </c>
      <c r="AL16" s="56">
        <v>1370</v>
      </c>
      <c r="AM16" s="56">
        <v>242.91</v>
      </c>
      <c r="AN16" s="53">
        <v>10134</v>
      </c>
      <c r="AO16" s="53">
        <v>10134</v>
      </c>
      <c r="AP16" s="53">
        <f t="shared" si="17"/>
        <v>11504</v>
      </c>
      <c r="AQ16" s="53">
        <f t="shared" si="17"/>
        <v>10376.91</v>
      </c>
      <c r="AR16" s="47">
        <v>1344</v>
      </c>
      <c r="AS16" s="47">
        <v>1328</v>
      </c>
      <c r="AT16" s="53">
        <f t="shared" si="18"/>
        <v>11478</v>
      </c>
      <c r="AU16" s="53">
        <f t="shared" si="18"/>
        <v>11462</v>
      </c>
      <c r="BA16" s="53"/>
    </row>
    <row r="17" spans="1:53" x14ac:dyDescent="0.25">
      <c r="A17" s="45" t="str">
        <f t="shared" si="23"/>
        <v>Pier4</v>
      </c>
      <c r="B17" s="45" t="str">
        <f t="shared" si="24"/>
        <v>West Web</v>
      </c>
      <c r="C17" t="s">
        <v>29</v>
      </c>
      <c r="D17" s="53" t="str">
        <f t="shared" si="9"/>
        <v>Pier4West WebT12</v>
      </c>
      <c r="E17" s="56">
        <f t="shared" si="10"/>
        <v>8764</v>
      </c>
      <c r="F17" s="56">
        <f t="shared" si="10"/>
        <v>9816.91</v>
      </c>
      <c r="G17" s="46">
        <f t="shared" si="11"/>
        <v>8250</v>
      </c>
      <c r="H17" s="53">
        <v>6000</v>
      </c>
      <c r="I17" s="54">
        <f t="shared" si="26"/>
        <v>5</v>
      </c>
      <c r="J17" s="54">
        <f t="shared" si="25"/>
        <v>5</v>
      </c>
      <c r="K17" s="46">
        <f t="shared" si="12"/>
        <v>30750</v>
      </c>
      <c r="L17" s="46">
        <f t="shared" si="13"/>
        <v>28500</v>
      </c>
      <c r="M17">
        <v>2</v>
      </c>
      <c r="N17" s="53">
        <v>2</v>
      </c>
      <c r="O17">
        <v>2</v>
      </c>
      <c r="P17" s="53">
        <v>2</v>
      </c>
      <c r="Q17">
        <v>1059</v>
      </c>
      <c r="R17">
        <v>1059</v>
      </c>
      <c r="S17">
        <v>1882</v>
      </c>
      <c r="T17">
        <v>1882</v>
      </c>
      <c r="U17" s="47">
        <f t="shared" si="14"/>
        <v>8799</v>
      </c>
      <c r="V17" s="47">
        <f t="shared" si="14"/>
        <v>8799</v>
      </c>
      <c r="W17" s="53">
        <f t="shared" si="4"/>
        <v>1458764</v>
      </c>
      <c r="X17" s="71">
        <f t="shared" si="15"/>
        <v>18413.261379310345</v>
      </c>
      <c r="Y17" s="71">
        <f t="shared" si="16"/>
        <v>19236.261379310345</v>
      </c>
      <c r="Z17" s="47">
        <f t="shared" si="5"/>
        <v>16149.662068965517</v>
      </c>
      <c r="AA17" s="57">
        <f t="shared" si="6"/>
        <v>16972.662068965517</v>
      </c>
      <c r="AB17" s="56">
        <f t="shared" si="7"/>
        <v>30935.857241379312</v>
      </c>
      <c r="AC17" s="57">
        <f t="shared" si="8"/>
        <v>28672.257931034484</v>
      </c>
      <c r="AD17" s="47">
        <f t="shared" si="19"/>
        <v>3092.1986206896554</v>
      </c>
      <c r="AE17" s="67">
        <f t="shared" si="20"/>
        <v>3688.1986206896554</v>
      </c>
      <c r="AF17" s="47">
        <f t="shared" si="21"/>
        <v>3316.1986206896554</v>
      </c>
      <c r="AG17" s="47">
        <f t="shared" si="22"/>
        <v>2652.1986206896554</v>
      </c>
      <c r="AH17" s="53">
        <v>1435</v>
      </c>
      <c r="AI17" s="53">
        <v>839</v>
      </c>
      <c r="AJ17">
        <v>1211</v>
      </c>
      <c r="AK17">
        <v>1875</v>
      </c>
      <c r="AL17" s="56">
        <v>-1370</v>
      </c>
      <c r="AM17" s="56">
        <v>-317.08999999999997</v>
      </c>
      <c r="AN17" s="53">
        <v>10134</v>
      </c>
      <c r="AO17" s="53">
        <v>10134</v>
      </c>
      <c r="AP17" s="53">
        <f t="shared" si="17"/>
        <v>8764</v>
      </c>
      <c r="AQ17" s="53">
        <f t="shared" si="17"/>
        <v>9816.91</v>
      </c>
      <c r="AR17" s="47">
        <v>-1335</v>
      </c>
      <c r="AS17" s="47">
        <v>-1335</v>
      </c>
      <c r="AT17" s="53">
        <f t="shared" si="18"/>
        <v>8799</v>
      </c>
      <c r="AU17" s="53">
        <f t="shared" si="18"/>
        <v>8799</v>
      </c>
      <c r="BA17" s="53"/>
    </row>
    <row r="18" spans="1:53" s="2" customFormat="1" x14ac:dyDescent="0.25">
      <c r="A18" s="2" t="str">
        <f t="shared" si="23"/>
        <v>Pier4</v>
      </c>
      <c r="B18" s="2" t="str">
        <f t="shared" si="24"/>
        <v>West Web</v>
      </c>
      <c r="C18" s="2" t="s">
        <v>30</v>
      </c>
      <c r="D18" s="2" t="str">
        <f t="shared" si="9"/>
        <v>Pier4West WebT13</v>
      </c>
      <c r="E18" s="56">
        <f t="shared" si="10"/>
        <v>11704</v>
      </c>
      <c r="F18" s="56">
        <f t="shared" si="10"/>
        <v>10376.91</v>
      </c>
      <c r="G18" s="2">
        <f t="shared" si="11"/>
        <v>8250</v>
      </c>
      <c r="H18" s="2">
        <v>6000</v>
      </c>
      <c r="I18" s="62">
        <f t="shared" si="26"/>
        <v>5</v>
      </c>
      <c r="J18" s="62">
        <f t="shared" si="25"/>
        <v>6</v>
      </c>
      <c r="K18" s="2">
        <f t="shared" si="12"/>
        <v>30750</v>
      </c>
      <c r="L18" s="2">
        <f t="shared" si="13"/>
        <v>33000</v>
      </c>
      <c r="M18" s="2">
        <v>0</v>
      </c>
      <c r="N18" s="2">
        <v>1</v>
      </c>
      <c r="O18" s="2">
        <v>3</v>
      </c>
      <c r="P18" s="2">
        <v>3</v>
      </c>
      <c r="Q18" s="2">
        <v>1984</v>
      </c>
      <c r="R18" s="2">
        <v>-2147</v>
      </c>
      <c r="S18" s="2">
        <v>-1831</v>
      </c>
      <c r="T18" s="2">
        <v>-1230</v>
      </c>
      <c r="U18" s="47">
        <f t="shared" si="14"/>
        <v>11677</v>
      </c>
      <c r="V18" s="47">
        <f t="shared" si="14"/>
        <v>11661</v>
      </c>
      <c r="W18" s="2">
        <f t="shared" si="4"/>
        <v>1461704</v>
      </c>
      <c r="X18" s="74">
        <f>(G18+4500*M18)*(W18/Radius_at_L201)+Q18</f>
        <v>10300.591724137932</v>
      </c>
      <c r="Y18" s="74">
        <f>(G18+4500*N18)*(W18/Radius_at_L201)+S18</f>
        <v>11021.914482758622</v>
      </c>
      <c r="Z18" s="63">
        <f t="shared" si="5"/>
        <v>17510.398620689655</v>
      </c>
      <c r="AA18" s="64">
        <f t="shared" si="6"/>
        <v>18427.398620689655</v>
      </c>
      <c r="AB18" s="61">
        <f t="shared" si="7"/>
        <v>30998.205517241382</v>
      </c>
      <c r="AC18" s="64">
        <f t="shared" si="8"/>
        <v>33266.366896551728</v>
      </c>
      <c r="AD18" s="63">
        <f t="shared" si="19"/>
        <v>2636.3227586206895</v>
      </c>
      <c r="AE18" s="70">
        <f t="shared" si="20"/>
        <v>3308.3227586206895</v>
      </c>
      <c r="AF18" s="63">
        <f t="shared" si="21"/>
        <v>4219.3227586206895</v>
      </c>
      <c r="AG18" s="63">
        <f t="shared" si="22"/>
        <v>3718.3227586206895</v>
      </c>
      <c r="AH18" s="2">
        <v>1900</v>
      </c>
      <c r="AI18" s="2">
        <v>1228</v>
      </c>
      <c r="AJ18" s="2">
        <v>317</v>
      </c>
      <c r="AK18" s="2">
        <v>818</v>
      </c>
      <c r="AL18" s="61">
        <v>1570</v>
      </c>
      <c r="AM18" s="61">
        <v>242.91</v>
      </c>
      <c r="AN18" s="53">
        <v>10134</v>
      </c>
      <c r="AO18" s="53">
        <v>10134</v>
      </c>
      <c r="AP18" s="53">
        <f t="shared" si="17"/>
        <v>11704</v>
      </c>
      <c r="AQ18" s="53">
        <f t="shared" si="17"/>
        <v>10376.91</v>
      </c>
      <c r="AR18" s="63">
        <v>1543</v>
      </c>
      <c r="AS18" s="63">
        <v>1527</v>
      </c>
      <c r="AT18" s="53">
        <f t="shared" si="18"/>
        <v>11677</v>
      </c>
      <c r="AU18" s="53">
        <f t="shared" si="18"/>
        <v>11661</v>
      </c>
    </row>
    <row r="19" spans="1:53" x14ac:dyDescent="0.25">
      <c r="A19" s="45" t="str">
        <f t="shared" si="23"/>
        <v>Pier4</v>
      </c>
      <c r="B19" s="45" t="str">
        <f t="shared" si="24"/>
        <v>West Web</v>
      </c>
      <c r="C19" t="s">
        <v>31</v>
      </c>
      <c r="D19" s="53" t="str">
        <f t="shared" si="9"/>
        <v>Pier4West WebT14</v>
      </c>
      <c r="E19" s="56">
        <f t="shared" si="10"/>
        <v>8564</v>
      </c>
      <c r="F19" s="56">
        <f t="shared" si="10"/>
        <v>9816.91</v>
      </c>
      <c r="G19" s="46">
        <f t="shared" si="11"/>
        <v>8250</v>
      </c>
      <c r="H19" s="53">
        <v>6000</v>
      </c>
      <c r="I19" s="54">
        <f t="shared" si="26"/>
        <v>6</v>
      </c>
      <c r="J19" s="54">
        <f t="shared" si="25"/>
        <v>6</v>
      </c>
      <c r="K19" s="46">
        <f t="shared" si="12"/>
        <v>35250</v>
      </c>
      <c r="L19" s="46">
        <f t="shared" si="13"/>
        <v>33000</v>
      </c>
      <c r="M19">
        <v>3</v>
      </c>
      <c r="N19" s="53">
        <v>3</v>
      </c>
      <c r="O19">
        <v>3</v>
      </c>
      <c r="P19" s="53">
        <v>3</v>
      </c>
      <c r="Q19">
        <v>-1368</v>
      </c>
      <c r="R19">
        <v>-1368</v>
      </c>
      <c r="S19">
        <v>-561</v>
      </c>
      <c r="T19">
        <v>-561</v>
      </c>
      <c r="U19" s="47">
        <f t="shared" si="14"/>
        <v>8598</v>
      </c>
      <c r="V19" s="47">
        <f t="shared" si="14"/>
        <v>8598</v>
      </c>
      <c r="W19" s="53">
        <f t="shared" si="4"/>
        <v>1458564</v>
      </c>
      <c r="X19" s="71">
        <f t="shared" si="15"/>
        <v>20510.46</v>
      </c>
      <c r="Y19" s="71">
        <f t="shared" si="16"/>
        <v>21317.46</v>
      </c>
      <c r="Z19" s="47">
        <f t="shared" si="5"/>
        <v>18247.171034482755</v>
      </c>
      <c r="AA19" s="57">
        <f t="shared" si="6"/>
        <v>19054.171034482755</v>
      </c>
      <c r="AB19" s="56">
        <f t="shared" si="7"/>
        <v>35458.193793103448</v>
      </c>
      <c r="AC19" s="57">
        <f t="shared" si="8"/>
        <v>33194.904827586201</v>
      </c>
      <c r="AD19" s="47">
        <f t="shared" si="19"/>
        <v>3091.5779310344824</v>
      </c>
      <c r="AE19" s="67">
        <f t="shared" si="20"/>
        <v>3687.5779310344824</v>
      </c>
      <c r="AF19" s="47">
        <f t="shared" si="21"/>
        <v>3315.5779310344824</v>
      </c>
      <c r="AG19" s="47">
        <f t="shared" si="22"/>
        <v>2651.5779310344824</v>
      </c>
      <c r="AH19" s="53">
        <v>1435</v>
      </c>
      <c r="AI19" s="53">
        <v>839</v>
      </c>
      <c r="AJ19">
        <v>1211</v>
      </c>
      <c r="AK19">
        <v>1875</v>
      </c>
      <c r="AL19" s="56">
        <v>-1570</v>
      </c>
      <c r="AM19" s="56">
        <v>-317.08999999999997</v>
      </c>
      <c r="AN19" s="53">
        <v>10134</v>
      </c>
      <c r="AO19" s="53">
        <v>10134</v>
      </c>
      <c r="AP19" s="53">
        <f t="shared" si="17"/>
        <v>8564</v>
      </c>
      <c r="AQ19" s="53">
        <f t="shared" si="17"/>
        <v>9816.91</v>
      </c>
      <c r="AR19" s="47">
        <v>-1536</v>
      </c>
      <c r="AS19" s="47">
        <v>-1536</v>
      </c>
      <c r="AT19" s="53">
        <f t="shared" si="18"/>
        <v>8598</v>
      </c>
      <c r="AU19" s="53">
        <f t="shared" si="18"/>
        <v>8598</v>
      </c>
      <c r="BA19" s="53"/>
    </row>
    <row r="20" spans="1:53" x14ac:dyDescent="0.25">
      <c r="A20" s="45" t="str">
        <f t="shared" si="23"/>
        <v>Pier4</v>
      </c>
      <c r="B20" s="45" t="str">
        <f t="shared" si="24"/>
        <v>West Web</v>
      </c>
      <c r="C20" t="s">
        <v>32</v>
      </c>
      <c r="D20" s="53" t="str">
        <f t="shared" si="9"/>
        <v>Pier4West WebT15</v>
      </c>
      <c r="E20" s="56">
        <f t="shared" si="10"/>
        <v>11904</v>
      </c>
      <c r="F20" s="56">
        <f t="shared" si="10"/>
        <v>10376.91</v>
      </c>
      <c r="G20" s="46">
        <f t="shared" si="11"/>
        <v>8250</v>
      </c>
      <c r="H20" s="53">
        <v>6000</v>
      </c>
      <c r="I20" s="54">
        <f t="shared" si="26"/>
        <v>6</v>
      </c>
      <c r="J20" s="54">
        <f t="shared" si="25"/>
        <v>7</v>
      </c>
      <c r="K20" s="46">
        <f t="shared" si="12"/>
        <v>35250</v>
      </c>
      <c r="L20" s="46">
        <f t="shared" si="13"/>
        <v>37500</v>
      </c>
      <c r="M20">
        <v>1</v>
      </c>
      <c r="N20" s="53">
        <v>1</v>
      </c>
      <c r="O20">
        <v>3</v>
      </c>
      <c r="P20" s="53">
        <v>3</v>
      </c>
      <c r="Q20">
        <v>-762</v>
      </c>
      <c r="R20">
        <v>222</v>
      </c>
      <c r="S20">
        <v>-22</v>
      </c>
      <c r="T20">
        <v>1155</v>
      </c>
      <c r="U20" s="47">
        <f t="shared" si="14"/>
        <v>11875</v>
      </c>
      <c r="V20" s="47">
        <f t="shared" si="14"/>
        <v>11859</v>
      </c>
      <c r="W20" s="53">
        <f t="shared" si="4"/>
        <v>1461904</v>
      </c>
      <c r="X20" s="71">
        <f t="shared" si="15"/>
        <v>12092.673103448276</v>
      </c>
      <c r="Y20" s="71">
        <f t="shared" si="16"/>
        <v>12832.673103448276</v>
      </c>
      <c r="Z20" s="47">
        <f t="shared" si="5"/>
        <v>19882.088275862068</v>
      </c>
      <c r="AA20" s="57">
        <f t="shared" si="6"/>
        <v>20815.088275862068</v>
      </c>
      <c r="AB20" s="56">
        <f t="shared" si="7"/>
        <v>35539.390344827589</v>
      </c>
      <c r="AC20" s="57">
        <f t="shared" si="8"/>
        <v>37807.862068965514</v>
      </c>
      <c r="AD20" s="47">
        <f t="shared" si="19"/>
        <v>2636.9434482758625</v>
      </c>
      <c r="AE20" s="67">
        <f t="shared" si="20"/>
        <v>3308.9434482758625</v>
      </c>
      <c r="AF20" s="47">
        <f t="shared" si="21"/>
        <v>4219.9434482758625</v>
      </c>
      <c r="AG20" s="47">
        <f t="shared" si="22"/>
        <v>3718.9434482758625</v>
      </c>
      <c r="AH20" s="53">
        <v>1900</v>
      </c>
      <c r="AI20" s="53">
        <v>1228</v>
      </c>
      <c r="AJ20">
        <v>317</v>
      </c>
      <c r="AK20">
        <v>818</v>
      </c>
      <c r="AL20" s="56">
        <v>1770</v>
      </c>
      <c r="AM20" s="56">
        <v>242.91</v>
      </c>
      <c r="AN20" s="53">
        <v>10134</v>
      </c>
      <c r="AO20" s="53">
        <v>10134</v>
      </c>
      <c r="AP20" s="53">
        <f t="shared" si="17"/>
        <v>11904</v>
      </c>
      <c r="AQ20" s="53">
        <f t="shared" si="17"/>
        <v>10376.91</v>
      </c>
      <c r="AR20" s="47">
        <v>1741</v>
      </c>
      <c r="AS20" s="47">
        <v>1725</v>
      </c>
      <c r="AT20" s="53">
        <f t="shared" si="18"/>
        <v>11875</v>
      </c>
      <c r="AU20" s="53">
        <f t="shared" si="18"/>
        <v>11859</v>
      </c>
      <c r="BA20" s="53"/>
    </row>
    <row r="21" spans="1:53" x14ac:dyDescent="0.25">
      <c r="A21" s="45" t="str">
        <f t="shared" si="23"/>
        <v>Pier4</v>
      </c>
      <c r="B21" s="45" t="str">
        <f t="shared" si="24"/>
        <v>West Web</v>
      </c>
      <c r="C21" t="s">
        <v>33</v>
      </c>
      <c r="D21" s="53" t="str">
        <f t="shared" si="9"/>
        <v>Pier4West WebT16</v>
      </c>
      <c r="E21" s="56">
        <f t="shared" si="10"/>
        <v>8364</v>
      </c>
      <c r="F21" s="56">
        <f t="shared" si="10"/>
        <v>9816.91</v>
      </c>
      <c r="G21" s="46">
        <f t="shared" si="11"/>
        <v>8250</v>
      </c>
      <c r="H21" s="53">
        <v>6000</v>
      </c>
      <c r="I21" s="54">
        <f t="shared" si="26"/>
        <v>7</v>
      </c>
      <c r="J21" s="54">
        <f t="shared" si="25"/>
        <v>7</v>
      </c>
      <c r="K21" s="46">
        <f t="shared" si="12"/>
        <v>39750</v>
      </c>
      <c r="L21" s="46">
        <f t="shared" si="13"/>
        <v>37500</v>
      </c>
      <c r="M21">
        <v>3</v>
      </c>
      <c r="N21" s="53">
        <v>3</v>
      </c>
      <c r="O21">
        <v>3</v>
      </c>
      <c r="P21" s="53">
        <v>3</v>
      </c>
      <c r="Q21">
        <v>680</v>
      </c>
      <c r="R21">
        <v>680</v>
      </c>
      <c r="S21">
        <v>1470</v>
      </c>
      <c r="T21">
        <v>1470</v>
      </c>
      <c r="U21" s="47">
        <f t="shared" si="14"/>
        <v>8397</v>
      </c>
      <c r="V21" s="47">
        <f t="shared" si="14"/>
        <v>8397</v>
      </c>
      <c r="W21" s="53">
        <f t="shared" si="4"/>
        <v>1458364</v>
      </c>
      <c r="X21" s="71">
        <f t="shared" si="15"/>
        <v>22555.46</v>
      </c>
      <c r="Y21" s="71">
        <f t="shared" si="16"/>
        <v>23345.46</v>
      </c>
      <c r="Z21" s="47">
        <f t="shared" si="5"/>
        <v>20292.481379310346</v>
      </c>
      <c r="AA21" s="57">
        <f t="shared" si="6"/>
        <v>21082.481379310346</v>
      </c>
      <c r="AB21" s="56">
        <f t="shared" si="7"/>
        <v>39979.28896551724</v>
      </c>
      <c r="AC21" s="57">
        <f t="shared" si="8"/>
        <v>37716.310344827587</v>
      </c>
      <c r="AD21" s="47">
        <f t="shared" si="19"/>
        <v>3090.9572413793103</v>
      </c>
      <c r="AE21" s="67">
        <f t="shared" si="20"/>
        <v>3686.9572413793103</v>
      </c>
      <c r="AF21" s="47">
        <f t="shared" si="21"/>
        <v>3314.9572413793103</v>
      </c>
      <c r="AG21" s="47">
        <f t="shared" si="22"/>
        <v>2650.9572413793103</v>
      </c>
      <c r="AH21" s="53">
        <v>1435</v>
      </c>
      <c r="AI21" s="53">
        <v>839</v>
      </c>
      <c r="AJ21">
        <v>1211</v>
      </c>
      <c r="AK21">
        <v>1875</v>
      </c>
      <c r="AL21" s="56">
        <v>-1770</v>
      </c>
      <c r="AM21" s="56">
        <v>-317.08999999999997</v>
      </c>
      <c r="AN21" s="53">
        <v>10134</v>
      </c>
      <c r="AO21" s="53">
        <v>10134</v>
      </c>
      <c r="AP21" s="53">
        <f t="shared" si="17"/>
        <v>8364</v>
      </c>
      <c r="AQ21" s="53">
        <f t="shared" si="17"/>
        <v>9816.91</v>
      </c>
      <c r="AR21" s="47">
        <v>-1737</v>
      </c>
      <c r="AS21" s="47">
        <v>-1737</v>
      </c>
      <c r="AT21" s="53">
        <f t="shared" si="18"/>
        <v>8397</v>
      </c>
      <c r="AU21" s="53">
        <f t="shared" si="18"/>
        <v>8397</v>
      </c>
      <c r="BA21" s="53"/>
    </row>
    <row r="22" spans="1:53" x14ac:dyDescent="0.25">
      <c r="A22" s="45" t="str">
        <f t="shared" si="23"/>
        <v>Pier4</v>
      </c>
      <c r="B22" s="45" t="str">
        <f t="shared" si="24"/>
        <v>West Web</v>
      </c>
      <c r="C22" t="s">
        <v>34</v>
      </c>
      <c r="D22" s="53" t="str">
        <f t="shared" si="9"/>
        <v>Pier4West WebT17</v>
      </c>
      <c r="E22" s="56">
        <f t="shared" si="10"/>
        <v>12104</v>
      </c>
      <c r="F22" s="56">
        <f t="shared" si="10"/>
        <v>10376.91</v>
      </c>
      <c r="G22" s="46">
        <f t="shared" si="11"/>
        <v>8250</v>
      </c>
      <c r="H22" s="53">
        <v>6000</v>
      </c>
      <c r="I22" s="54">
        <f t="shared" si="26"/>
        <v>7</v>
      </c>
      <c r="J22" s="54">
        <f t="shared" si="25"/>
        <v>8</v>
      </c>
      <c r="K22" s="46">
        <f t="shared" si="12"/>
        <v>39750</v>
      </c>
      <c r="L22" s="46">
        <f t="shared" si="13"/>
        <v>42000</v>
      </c>
      <c r="M22">
        <v>1</v>
      </c>
      <c r="N22" s="53">
        <v>1</v>
      </c>
      <c r="O22">
        <v>4</v>
      </c>
      <c r="P22" s="53">
        <v>4</v>
      </c>
      <c r="Q22">
        <v>1097</v>
      </c>
      <c r="R22">
        <v>-1910</v>
      </c>
      <c r="S22">
        <v>1855</v>
      </c>
      <c r="T22">
        <v>-963</v>
      </c>
      <c r="U22" s="47">
        <f t="shared" si="14"/>
        <v>12074</v>
      </c>
      <c r="V22" s="47">
        <f t="shared" si="14"/>
        <v>12058</v>
      </c>
      <c r="W22" s="53">
        <f t="shared" si="4"/>
        <v>1462104</v>
      </c>
      <c r="X22" s="71">
        <f t="shared" si="15"/>
        <v>13953.43172413793</v>
      </c>
      <c r="Y22" s="71">
        <f t="shared" si="16"/>
        <v>14711.43172413793</v>
      </c>
      <c r="Z22" s="47">
        <f t="shared" si="5"/>
        <v>22290.342068965514</v>
      </c>
      <c r="AA22" s="57">
        <f t="shared" si="6"/>
        <v>23237.342068965514</v>
      </c>
      <c r="AB22" s="56">
        <f t="shared" si="7"/>
        <v>40081.816551724136</v>
      </c>
      <c r="AC22" s="57">
        <f t="shared" si="8"/>
        <v>42350.598620689649</v>
      </c>
      <c r="AD22" s="47">
        <f t="shared" si="19"/>
        <v>2637.5641379310346</v>
      </c>
      <c r="AE22" s="67">
        <f t="shared" si="20"/>
        <v>3309.5641379310346</v>
      </c>
      <c r="AF22" s="47">
        <f t="shared" si="21"/>
        <v>4220.5641379310346</v>
      </c>
      <c r="AG22" s="47">
        <f t="shared" si="22"/>
        <v>3719.5641379310346</v>
      </c>
      <c r="AH22" s="53">
        <v>1900</v>
      </c>
      <c r="AI22" s="53">
        <v>1228</v>
      </c>
      <c r="AJ22">
        <v>317</v>
      </c>
      <c r="AK22">
        <v>818</v>
      </c>
      <c r="AL22" s="56">
        <v>1970</v>
      </c>
      <c r="AM22" s="56">
        <v>242.91</v>
      </c>
      <c r="AN22" s="53">
        <v>10134</v>
      </c>
      <c r="AO22" s="53">
        <v>10134</v>
      </c>
      <c r="AP22" s="53">
        <f t="shared" si="17"/>
        <v>12104</v>
      </c>
      <c r="AQ22" s="53">
        <f t="shared" si="17"/>
        <v>10376.91</v>
      </c>
      <c r="AR22" s="47">
        <v>1940</v>
      </c>
      <c r="AS22" s="47">
        <v>1924</v>
      </c>
      <c r="AT22" s="53">
        <f t="shared" si="18"/>
        <v>12074</v>
      </c>
      <c r="AU22" s="53">
        <f t="shared" si="18"/>
        <v>12058</v>
      </c>
      <c r="BA22" s="53"/>
    </row>
    <row r="23" spans="1:53" x14ac:dyDescent="0.25">
      <c r="A23" s="45" t="str">
        <f t="shared" si="23"/>
        <v>Pier4</v>
      </c>
      <c r="B23" s="45" t="str">
        <f t="shared" si="24"/>
        <v>West Web</v>
      </c>
      <c r="C23" t="s">
        <v>35</v>
      </c>
      <c r="D23" s="53" t="str">
        <f t="shared" si="9"/>
        <v>Pier4West WebT18</v>
      </c>
      <c r="E23" s="56">
        <f t="shared" si="10"/>
        <v>8164</v>
      </c>
      <c r="F23" s="56">
        <f t="shared" si="10"/>
        <v>9816.91</v>
      </c>
      <c r="G23" s="46">
        <f t="shared" si="11"/>
        <v>8250</v>
      </c>
      <c r="H23" s="53">
        <v>6000</v>
      </c>
      <c r="I23" s="54">
        <f t="shared" si="26"/>
        <v>8</v>
      </c>
      <c r="J23" s="54">
        <f t="shared" si="25"/>
        <v>8</v>
      </c>
      <c r="K23" s="46">
        <f t="shared" si="12"/>
        <v>44250</v>
      </c>
      <c r="L23" s="46">
        <f t="shared" si="13"/>
        <v>42000</v>
      </c>
      <c r="M23">
        <v>4</v>
      </c>
      <c r="N23" s="53">
        <v>4</v>
      </c>
      <c r="O23">
        <v>4</v>
      </c>
      <c r="P23" s="53">
        <v>4</v>
      </c>
      <c r="Q23">
        <v>-1853</v>
      </c>
      <c r="R23">
        <v>-1852</v>
      </c>
      <c r="S23">
        <v>-1080</v>
      </c>
      <c r="T23">
        <v>-1080</v>
      </c>
      <c r="U23" s="47">
        <f t="shared" si="14"/>
        <v>8196</v>
      </c>
      <c r="V23" s="47">
        <f t="shared" si="14"/>
        <v>8196</v>
      </c>
      <c r="W23" s="53">
        <f t="shared" si="4"/>
        <v>1458164</v>
      </c>
      <c r="X23" s="71">
        <f t="shared" si="15"/>
        <v>24544.796551724139</v>
      </c>
      <c r="Y23" s="71">
        <f t="shared" si="16"/>
        <v>25317.796551724139</v>
      </c>
      <c r="Z23" s="47">
        <f t="shared" si="5"/>
        <v>22283.128275862069</v>
      </c>
      <c r="AA23" s="57">
        <f t="shared" si="6"/>
        <v>23055.128275862069</v>
      </c>
      <c r="AB23" s="56">
        <f t="shared" si="7"/>
        <v>44499.142758620692</v>
      </c>
      <c r="AC23" s="57">
        <f t="shared" si="8"/>
        <v>42236.474482758626</v>
      </c>
      <c r="AD23" s="47">
        <f t="shared" si="19"/>
        <v>3090.3365517241382</v>
      </c>
      <c r="AE23" s="67">
        <f t="shared" si="20"/>
        <v>3686.3365517241382</v>
      </c>
      <c r="AF23" s="47">
        <f t="shared" si="21"/>
        <v>3314.3365517241382</v>
      </c>
      <c r="AG23" s="47">
        <f t="shared" si="22"/>
        <v>2650.3365517241382</v>
      </c>
      <c r="AH23" s="53">
        <v>1435</v>
      </c>
      <c r="AI23" s="53">
        <v>839</v>
      </c>
      <c r="AJ23">
        <v>1211</v>
      </c>
      <c r="AK23">
        <v>1875</v>
      </c>
      <c r="AL23" s="56">
        <v>-1970</v>
      </c>
      <c r="AM23" s="56">
        <v>-317.08999999999997</v>
      </c>
      <c r="AN23" s="53">
        <v>10134</v>
      </c>
      <c r="AO23" s="53">
        <v>10134</v>
      </c>
      <c r="AP23" s="53">
        <f t="shared" si="17"/>
        <v>8164</v>
      </c>
      <c r="AQ23" s="53">
        <f t="shared" si="17"/>
        <v>9816.91</v>
      </c>
      <c r="AR23" s="47">
        <v>-1938</v>
      </c>
      <c r="AS23" s="47">
        <v>-1938</v>
      </c>
      <c r="AT23" s="53">
        <f t="shared" si="18"/>
        <v>8196</v>
      </c>
      <c r="AU23" s="53">
        <f t="shared" si="18"/>
        <v>8196</v>
      </c>
      <c r="BA23" s="53"/>
    </row>
    <row r="24" spans="1:53" x14ac:dyDescent="0.25">
      <c r="A24" s="45" t="str">
        <f t="shared" si="23"/>
        <v>Pier4</v>
      </c>
      <c r="B24" s="45" t="str">
        <f t="shared" si="24"/>
        <v>West Web</v>
      </c>
      <c r="C24" t="s">
        <v>36</v>
      </c>
      <c r="D24" s="53" t="str">
        <f t="shared" si="9"/>
        <v>Pier4West WebT19</v>
      </c>
      <c r="E24" s="56">
        <f t="shared" si="10"/>
        <v>12304</v>
      </c>
      <c r="F24" s="56">
        <f t="shared" si="10"/>
        <v>10376.91</v>
      </c>
      <c r="G24" s="46">
        <f t="shared" si="11"/>
        <v>8250</v>
      </c>
      <c r="H24" s="53">
        <v>6000</v>
      </c>
      <c r="I24" s="54">
        <f t="shared" si="26"/>
        <v>8</v>
      </c>
      <c r="J24" s="54">
        <f t="shared" si="25"/>
        <v>9</v>
      </c>
      <c r="K24" s="46">
        <f t="shared" si="12"/>
        <v>44250</v>
      </c>
      <c r="L24" s="46">
        <f t="shared" si="13"/>
        <v>46500</v>
      </c>
      <c r="M24">
        <v>2</v>
      </c>
      <c r="N24" s="53">
        <v>2</v>
      </c>
      <c r="O24">
        <v>4</v>
      </c>
      <c r="P24" s="53">
        <v>4</v>
      </c>
      <c r="Q24">
        <v>-1518</v>
      </c>
      <c r="R24">
        <v>527</v>
      </c>
      <c r="S24">
        <v>-742</v>
      </c>
      <c r="T24">
        <v>1488</v>
      </c>
      <c r="U24" s="47">
        <f t="shared" si="14"/>
        <v>12272</v>
      </c>
      <c r="V24" s="47">
        <f t="shared" si="14"/>
        <v>12256</v>
      </c>
      <c r="W24" s="53">
        <f t="shared" si="4"/>
        <v>1462304</v>
      </c>
      <c r="X24" s="71">
        <f t="shared" si="15"/>
        <v>15878.375172413795</v>
      </c>
      <c r="Y24" s="71">
        <f t="shared" si="16"/>
        <v>16654.375172413795</v>
      </c>
      <c r="Z24" s="47">
        <f t="shared" si="5"/>
        <v>24730.652413793105</v>
      </c>
      <c r="AA24" s="57">
        <f t="shared" si="6"/>
        <v>25691.652413793105</v>
      </c>
      <c r="AB24" s="56">
        <f t="shared" si="7"/>
        <v>44625.484137931038</v>
      </c>
      <c r="AC24" s="57">
        <f t="shared" si="8"/>
        <v>46894.576551724138</v>
      </c>
      <c r="AD24" s="47">
        <f t="shared" si="19"/>
        <v>2638.1848275862067</v>
      </c>
      <c r="AE24" s="67">
        <f t="shared" si="20"/>
        <v>3310.1848275862067</v>
      </c>
      <c r="AF24" s="47">
        <f t="shared" si="21"/>
        <v>4221.1848275862067</v>
      </c>
      <c r="AG24" s="47">
        <f t="shared" si="22"/>
        <v>3720.1848275862067</v>
      </c>
      <c r="AH24" s="53">
        <v>1900</v>
      </c>
      <c r="AI24" s="53">
        <v>1228</v>
      </c>
      <c r="AJ24">
        <v>317</v>
      </c>
      <c r="AK24">
        <v>818</v>
      </c>
      <c r="AL24" s="56">
        <v>2170</v>
      </c>
      <c r="AM24" s="56">
        <v>242.91</v>
      </c>
      <c r="AN24" s="53">
        <v>10134</v>
      </c>
      <c r="AO24" s="53">
        <v>10134</v>
      </c>
      <c r="AP24" s="53">
        <f t="shared" si="17"/>
        <v>12304</v>
      </c>
      <c r="AQ24" s="53">
        <f t="shared" si="17"/>
        <v>10376.91</v>
      </c>
      <c r="AR24" s="47">
        <v>2138</v>
      </c>
      <c r="AS24" s="47">
        <v>2122</v>
      </c>
      <c r="AT24" s="53">
        <f t="shared" si="18"/>
        <v>12272</v>
      </c>
      <c r="AU24" s="53">
        <f t="shared" si="18"/>
        <v>12256</v>
      </c>
      <c r="BA24" s="53"/>
    </row>
    <row r="25" spans="1:53" x14ac:dyDescent="0.25">
      <c r="A25" s="45" t="str">
        <f t="shared" si="23"/>
        <v>Pier4</v>
      </c>
      <c r="B25" s="45" t="str">
        <f t="shared" si="24"/>
        <v>West Web</v>
      </c>
      <c r="C25" t="s">
        <v>37</v>
      </c>
      <c r="D25" s="53" t="str">
        <f t="shared" si="9"/>
        <v>Pier4West WebT20</v>
      </c>
      <c r="E25" s="56">
        <f t="shared" si="10"/>
        <v>7964</v>
      </c>
      <c r="F25" s="56">
        <f t="shared" si="10"/>
        <v>9816.91</v>
      </c>
      <c r="G25" s="46">
        <f t="shared" si="11"/>
        <v>8250</v>
      </c>
      <c r="H25" s="53">
        <v>6000</v>
      </c>
      <c r="I25" s="54">
        <f t="shared" si="26"/>
        <v>9</v>
      </c>
      <c r="J25" s="54">
        <f t="shared" si="25"/>
        <v>9</v>
      </c>
      <c r="K25" s="46">
        <f t="shared" si="12"/>
        <v>48750</v>
      </c>
      <c r="L25" s="46">
        <f t="shared" si="13"/>
        <v>46500</v>
      </c>
      <c r="M25">
        <v>4</v>
      </c>
      <c r="N25" s="53">
        <v>4</v>
      </c>
      <c r="O25">
        <v>4</v>
      </c>
      <c r="P25" s="53">
        <v>4</v>
      </c>
      <c r="Q25">
        <v>81</v>
      </c>
      <c r="R25">
        <v>82</v>
      </c>
      <c r="S25">
        <v>836</v>
      </c>
      <c r="T25">
        <v>839</v>
      </c>
      <c r="U25" s="47">
        <f t="shared" si="14"/>
        <v>7994</v>
      </c>
      <c r="V25" s="47">
        <f t="shared" si="14"/>
        <v>7994</v>
      </c>
      <c r="W25" s="53">
        <f t="shared" si="4"/>
        <v>1457964</v>
      </c>
      <c r="X25" s="71">
        <f t="shared" si="15"/>
        <v>26475.175862068965</v>
      </c>
      <c r="Y25" s="71">
        <f t="shared" si="16"/>
        <v>27230.175862068965</v>
      </c>
      <c r="Z25" s="47">
        <f t="shared" si="5"/>
        <v>24213.817931034482</v>
      </c>
      <c r="AA25" s="57">
        <f t="shared" si="6"/>
        <v>24970.817931034482</v>
      </c>
      <c r="AB25" s="56">
        <f t="shared" si="7"/>
        <v>49017.755172413788</v>
      </c>
      <c r="AC25" s="57">
        <f t="shared" si="8"/>
        <v>46755.397241379309</v>
      </c>
      <c r="AD25" s="47">
        <f t="shared" si="19"/>
        <v>3089.7158620689652</v>
      </c>
      <c r="AE25" s="67">
        <f t="shared" si="20"/>
        <v>3685.7158620689652</v>
      </c>
      <c r="AF25" s="47">
        <f t="shared" si="21"/>
        <v>3313.7158620689652</v>
      </c>
      <c r="AG25" s="47">
        <f t="shared" si="22"/>
        <v>2649.7158620689652</v>
      </c>
      <c r="AH25" s="53">
        <v>1435</v>
      </c>
      <c r="AI25" s="53">
        <v>839</v>
      </c>
      <c r="AJ25">
        <v>1211</v>
      </c>
      <c r="AK25">
        <v>1875</v>
      </c>
      <c r="AL25" s="56">
        <v>-2170</v>
      </c>
      <c r="AM25" s="56">
        <v>-317.08999999999997</v>
      </c>
      <c r="AN25" s="53">
        <v>10134</v>
      </c>
      <c r="AO25" s="53">
        <v>10134</v>
      </c>
      <c r="AP25" s="53">
        <f t="shared" si="17"/>
        <v>7964</v>
      </c>
      <c r="AQ25" s="53">
        <f t="shared" si="17"/>
        <v>9816.91</v>
      </c>
      <c r="AR25" s="47">
        <v>-2140</v>
      </c>
      <c r="AS25" s="47">
        <v>-2140</v>
      </c>
      <c r="AT25" s="53">
        <f t="shared" si="18"/>
        <v>7994</v>
      </c>
      <c r="AU25" s="53">
        <f t="shared" si="18"/>
        <v>7994</v>
      </c>
      <c r="BA25" s="53"/>
    </row>
    <row r="26" spans="1:53" x14ac:dyDescent="0.25">
      <c r="A26" s="45" t="str">
        <f t="shared" si="23"/>
        <v>Pier4</v>
      </c>
      <c r="B26" s="45" t="str">
        <f t="shared" si="24"/>
        <v>West Web</v>
      </c>
      <c r="C26" t="s">
        <v>38</v>
      </c>
      <c r="D26" s="53" t="str">
        <f t="shared" si="9"/>
        <v>Pier4West WebT21</v>
      </c>
      <c r="E26" s="56">
        <f t="shared" si="10"/>
        <v>12504</v>
      </c>
      <c r="F26" s="56">
        <f t="shared" si="10"/>
        <v>10376.91</v>
      </c>
      <c r="G26" s="46">
        <f t="shared" si="11"/>
        <v>8250</v>
      </c>
      <c r="H26" s="53">
        <v>6000</v>
      </c>
      <c r="I26" s="54">
        <f t="shared" si="26"/>
        <v>9</v>
      </c>
      <c r="J26" s="54">
        <f t="shared" si="25"/>
        <v>10</v>
      </c>
      <c r="K26" s="46">
        <f t="shared" si="12"/>
        <v>48750</v>
      </c>
      <c r="L26" s="46">
        <f t="shared" si="13"/>
        <v>51000</v>
      </c>
      <c r="M26">
        <v>2</v>
      </c>
      <c r="N26" s="53">
        <v>2</v>
      </c>
      <c r="O26">
        <v>5</v>
      </c>
      <c r="P26" s="53">
        <v>5</v>
      </c>
      <c r="Q26">
        <v>465</v>
      </c>
      <c r="R26">
        <v>-1542</v>
      </c>
      <c r="S26">
        <v>1258</v>
      </c>
      <c r="T26">
        <v>-567</v>
      </c>
      <c r="U26" s="47">
        <f t="shared" si="14"/>
        <v>12471</v>
      </c>
      <c r="V26" s="47">
        <f t="shared" si="14"/>
        <v>12455</v>
      </c>
      <c r="W26" s="53">
        <f t="shared" si="4"/>
        <v>1462504</v>
      </c>
      <c r="X26" s="71">
        <f t="shared" si="15"/>
        <v>17863.754482758621</v>
      </c>
      <c r="Y26" s="71">
        <f t="shared" si="16"/>
        <v>18656.754482758621</v>
      </c>
      <c r="Z26" s="47">
        <f t="shared" si="5"/>
        <v>27203.768275862069</v>
      </c>
      <c r="AA26" s="57">
        <f t="shared" si="6"/>
        <v>28178.768275862069</v>
      </c>
      <c r="AB26" s="56">
        <f t="shared" si="7"/>
        <v>49170.393103448274</v>
      </c>
      <c r="AC26" s="57">
        <f t="shared" si="8"/>
        <v>51439.795862068961</v>
      </c>
      <c r="AD26" s="47">
        <f t="shared" si="19"/>
        <v>2638.8055172413797</v>
      </c>
      <c r="AE26" s="67">
        <f t="shared" si="20"/>
        <v>3310.8055172413797</v>
      </c>
      <c r="AF26" s="47">
        <f t="shared" si="21"/>
        <v>4221.8055172413797</v>
      </c>
      <c r="AG26" s="47">
        <f t="shared" si="22"/>
        <v>3720.8055172413797</v>
      </c>
      <c r="AH26" s="53">
        <v>1900</v>
      </c>
      <c r="AI26" s="53">
        <v>1228</v>
      </c>
      <c r="AJ26">
        <v>317</v>
      </c>
      <c r="AK26">
        <v>818</v>
      </c>
      <c r="AL26" s="56">
        <v>2370</v>
      </c>
      <c r="AM26" s="56">
        <v>242.91</v>
      </c>
      <c r="AN26" s="53">
        <v>10134</v>
      </c>
      <c r="AO26" s="53">
        <v>10134</v>
      </c>
      <c r="AP26" s="53">
        <f t="shared" si="17"/>
        <v>12504</v>
      </c>
      <c r="AQ26" s="53">
        <f t="shared" si="17"/>
        <v>10376.91</v>
      </c>
      <c r="AR26" s="47">
        <v>2337</v>
      </c>
      <c r="AS26" s="47">
        <v>2321</v>
      </c>
      <c r="AT26" s="53">
        <f t="shared" si="18"/>
        <v>12471</v>
      </c>
      <c r="AU26" s="53">
        <f t="shared" si="18"/>
        <v>12455</v>
      </c>
      <c r="BA26" s="53"/>
    </row>
    <row r="27" spans="1:53" x14ac:dyDescent="0.25">
      <c r="A27" s="45" t="str">
        <f t="shared" si="23"/>
        <v>Pier4</v>
      </c>
      <c r="B27" s="45" t="str">
        <f t="shared" si="24"/>
        <v>West Web</v>
      </c>
      <c r="C27" t="s">
        <v>39</v>
      </c>
      <c r="D27" s="53" t="str">
        <f t="shared" si="9"/>
        <v>Pier4West WebT22</v>
      </c>
      <c r="E27" s="56">
        <f t="shared" si="10"/>
        <v>7764</v>
      </c>
      <c r="F27" s="56">
        <f t="shared" si="10"/>
        <v>9816.91</v>
      </c>
      <c r="G27" s="46">
        <f t="shared" si="11"/>
        <v>8250</v>
      </c>
      <c r="H27" s="53">
        <v>6000</v>
      </c>
      <c r="I27" s="54">
        <f t="shared" si="26"/>
        <v>10</v>
      </c>
      <c r="J27" s="54">
        <f t="shared" si="25"/>
        <v>10</v>
      </c>
      <c r="K27" s="46">
        <f t="shared" si="12"/>
        <v>53250</v>
      </c>
      <c r="L27" s="46">
        <f t="shared" si="13"/>
        <v>51000</v>
      </c>
      <c r="M27">
        <v>4</v>
      </c>
      <c r="N27" s="53">
        <v>5</v>
      </c>
      <c r="O27">
        <v>5</v>
      </c>
      <c r="P27" s="53">
        <v>5</v>
      </c>
      <c r="Q27">
        <v>1951</v>
      </c>
      <c r="R27">
        <v>-2572</v>
      </c>
      <c r="S27">
        <v>-1836</v>
      </c>
      <c r="T27">
        <v>-1835</v>
      </c>
      <c r="U27" s="47">
        <f t="shared" si="14"/>
        <v>7793</v>
      </c>
      <c r="V27" s="47">
        <f t="shared" si="14"/>
        <v>7793</v>
      </c>
      <c r="W27" s="53">
        <f t="shared" si="4"/>
        <v>1457764</v>
      </c>
      <c r="X27" s="71">
        <f t="shared" si="15"/>
        <v>28341.555172413795</v>
      </c>
      <c r="Y27" s="71">
        <f t="shared" si="16"/>
        <v>29078.650344827587</v>
      </c>
      <c r="Z27" s="47">
        <f t="shared" si="5"/>
        <v>26080.602758620691</v>
      </c>
      <c r="AA27" s="57">
        <f t="shared" si="6"/>
        <v>26817.602758620691</v>
      </c>
      <c r="AB27" s="56">
        <f t="shared" si="7"/>
        <v>53535.126206896552</v>
      </c>
      <c r="AC27" s="57">
        <f t="shared" si="8"/>
        <v>51273.078620689659</v>
      </c>
      <c r="AD27" s="47">
        <f t="shared" si="19"/>
        <v>3089.0951724137931</v>
      </c>
      <c r="AE27" s="67">
        <f t="shared" si="20"/>
        <v>3685.0951724137931</v>
      </c>
      <c r="AF27" s="47">
        <f t="shared" si="21"/>
        <v>3313.0951724137931</v>
      </c>
      <c r="AG27" s="47">
        <f t="shared" si="22"/>
        <v>2649.0951724137931</v>
      </c>
      <c r="AH27" s="53">
        <v>1435</v>
      </c>
      <c r="AI27" s="53">
        <v>839</v>
      </c>
      <c r="AJ27">
        <v>1211</v>
      </c>
      <c r="AK27">
        <v>1875</v>
      </c>
      <c r="AL27" s="56">
        <v>-2370</v>
      </c>
      <c r="AM27" s="56">
        <v>-317.08999999999997</v>
      </c>
      <c r="AN27" s="53">
        <v>10134</v>
      </c>
      <c r="AO27" s="53">
        <v>10134</v>
      </c>
      <c r="AP27" s="53">
        <f t="shared" si="17"/>
        <v>7764</v>
      </c>
      <c r="AQ27" s="53">
        <f t="shared" si="17"/>
        <v>9816.91</v>
      </c>
      <c r="AR27" s="47">
        <v>-2341</v>
      </c>
      <c r="AS27" s="47">
        <v>-2341</v>
      </c>
      <c r="AT27" s="53">
        <f t="shared" si="18"/>
        <v>7793</v>
      </c>
      <c r="AU27" s="53">
        <f t="shared" si="18"/>
        <v>7793</v>
      </c>
      <c r="BA27" s="53"/>
    </row>
    <row r="28" spans="1:53" x14ac:dyDescent="0.25">
      <c r="A28" s="45" t="str">
        <f t="shared" si="23"/>
        <v>Pier4</v>
      </c>
      <c r="B28" s="45" t="str">
        <f t="shared" si="24"/>
        <v>West Web</v>
      </c>
      <c r="C28" t="s">
        <v>40</v>
      </c>
      <c r="D28" s="53" t="str">
        <f t="shared" si="9"/>
        <v>Pier4West WebT23</v>
      </c>
      <c r="E28" s="56">
        <f t="shared" si="10"/>
        <v>12704</v>
      </c>
      <c r="F28" s="56">
        <f t="shared" si="10"/>
        <v>10376.91</v>
      </c>
      <c r="G28" s="46">
        <f t="shared" si="11"/>
        <v>8250</v>
      </c>
      <c r="H28" s="53">
        <v>6000</v>
      </c>
      <c r="I28" s="54">
        <f t="shared" si="26"/>
        <v>10</v>
      </c>
      <c r="J28" s="54">
        <f t="shared" si="25"/>
        <v>11</v>
      </c>
      <c r="K28" s="46">
        <f t="shared" si="12"/>
        <v>53250</v>
      </c>
      <c r="L28" s="46">
        <f t="shared" si="13"/>
        <v>55500</v>
      </c>
      <c r="M28">
        <v>3</v>
      </c>
      <c r="N28" s="53">
        <v>3</v>
      </c>
      <c r="O28">
        <v>5</v>
      </c>
      <c r="P28" s="53">
        <v>5</v>
      </c>
      <c r="Q28">
        <v>-2036</v>
      </c>
      <c r="R28">
        <v>958</v>
      </c>
      <c r="S28">
        <v>-1225</v>
      </c>
      <c r="T28">
        <v>1947</v>
      </c>
      <c r="U28" s="47">
        <f t="shared" si="14"/>
        <v>12669</v>
      </c>
      <c r="V28" s="47">
        <f t="shared" si="14"/>
        <v>12653</v>
      </c>
      <c r="W28" s="53">
        <f t="shared" si="4"/>
        <v>1462704</v>
      </c>
      <c r="X28" s="71">
        <f t="shared" si="15"/>
        <v>19904.560000000001</v>
      </c>
      <c r="Y28" s="71">
        <f t="shared" si="16"/>
        <v>20715.560000000001</v>
      </c>
      <c r="Z28" s="47">
        <f t="shared" si="5"/>
        <v>29707.699310344829</v>
      </c>
      <c r="AA28" s="57">
        <f t="shared" si="6"/>
        <v>30696.699310344829</v>
      </c>
      <c r="AB28" s="56">
        <f t="shared" si="7"/>
        <v>53716.543448275865</v>
      </c>
      <c r="AC28" s="57">
        <f t="shared" si="8"/>
        <v>55986.256551724146</v>
      </c>
      <c r="AD28" s="47">
        <f t="shared" si="19"/>
        <v>2639.4262068965518</v>
      </c>
      <c r="AE28" s="67">
        <f t="shared" si="20"/>
        <v>3311.4262068965518</v>
      </c>
      <c r="AF28" s="47">
        <f t="shared" si="21"/>
        <v>4222.4262068965518</v>
      </c>
      <c r="AG28" s="47">
        <f t="shared" si="22"/>
        <v>3721.4262068965518</v>
      </c>
      <c r="AH28" s="53">
        <v>1900</v>
      </c>
      <c r="AI28" s="53">
        <v>1228</v>
      </c>
      <c r="AJ28">
        <v>317</v>
      </c>
      <c r="AK28">
        <v>818</v>
      </c>
      <c r="AL28" s="56">
        <v>2570</v>
      </c>
      <c r="AM28" s="56">
        <v>242.91</v>
      </c>
      <c r="AN28" s="53">
        <v>10134</v>
      </c>
      <c r="AO28" s="53">
        <v>10134</v>
      </c>
      <c r="AP28" s="53">
        <f t="shared" si="17"/>
        <v>12704</v>
      </c>
      <c r="AQ28" s="53">
        <f t="shared" si="17"/>
        <v>10376.91</v>
      </c>
      <c r="AR28" s="47">
        <v>2535</v>
      </c>
      <c r="AS28" s="47">
        <v>2519</v>
      </c>
      <c r="AT28" s="53">
        <f t="shared" si="18"/>
        <v>12669</v>
      </c>
      <c r="AU28" s="53">
        <f t="shared" si="18"/>
        <v>12653</v>
      </c>
      <c r="BA28" s="53"/>
    </row>
    <row r="29" spans="1:53" s="2" customFormat="1" x14ac:dyDescent="0.25">
      <c r="A29" s="2" t="str">
        <f t="shared" si="23"/>
        <v>Pier4</v>
      </c>
      <c r="B29" s="2" t="str">
        <f t="shared" si="24"/>
        <v>West Web</v>
      </c>
      <c r="C29" s="2" t="s">
        <v>41</v>
      </c>
      <c r="D29" s="2" t="str">
        <f t="shared" si="9"/>
        <v>Pier4West WebT24</v>
      </c>
      <c r="E29" s="56">
        <f t="shared" si="10"/>
        <v>7564</v>
      </c>
      <c r="F29" s="56">
        <f t="shared" si="10"/>
        <v>9816.91</v>
      </c>
      <c r="G29" s="2">
        <f t="shared" si="11"/>
        <v>8250</v>
      </c>
      <c r="H29" s="2">
        <v>6000</v>
      </c>
      <c r="I29" s="62">
        <f t="shared" si="26"/>
        <v>11</v>
      </c>
      <c r="J29" s="62">
        <f t="shared" si="25"/>
        <v>11</v>
      </c>
      <c r="K29" s="2">
        <f t="shared" si="12"/>
        <v>57750</v>
      </c>
      <c r="L29" s="2">
        <f t="shared" si="13"/>
        <v>55500</v>
      </c>
      <c r="M29" s="2">
        <v>5</v>
      </c>
      <c r="N29" s="2">
        <v>5</v>
      </c>
      <c r="O29" s="2">
        <v>5</v>
      </c>
      <c r="P29" s="2">
        <v>5</v>
      </c>
      <c r="Q29" s="2">
        <v>-770</v>
      </c>
      <c r="R29" s="2">
        <v>-769</v>
      </c>
      <c r="S29" s="2">
        <v>-52</v>
      </c>
      <c r="T29" s="2">
        <v>-51</v>
      </c>
      <c r="U29" s="47">
        <f t="shared" si="14"/>
        <v>7592</v>
      </c>
      <c r="V29" s="47">
        <f t="shared" si="14"/>
        <v>7592</v>
      </c>
      <c r="W29" s="2">
        <f t="shared" si="4"/>
        <v>1457564</v>
      </c>
      <c r="X29" s="75">
        <f t="shared" si="15"/>
        <v>30140.408965517247</v>
      </c>
      <c r="Y29" s="75">
        <f t="shared" si="16"/>
        <v>30858.408965517247</v>
      </c>
      <c r="Z29" s="63">
        <f t="shared" si="5"/>
        <v>27879.671724137934</v>
      </c>
      <c r="AA29" s="64">
        <f t="shared" si="6"/>
        <v>28597.671724137934</v>
      </c>
      <c r="AB29" s="61">
        <f t="shared" si="7"/>
        <v>58051.255862068974</v>
      </c>
      <c r="AC29" s="64">
        <f t="shared" si="8"/>
        <v>55789.518620689661</v>
      </c>
      <c r="AD29" s="63">
        <f t="shared" si="19"/>
        <v>3088.474482758621</v>
      </c>
      <c r="AE29" s="70">
        <f t="shared" si="20"/>
        <v>3684.474482758621</v>
      </c>
      <c r="AF29" s="63">
        <f t="shared" si="21"/>
        <v>3312.474482758621</v>
      </c>
      <c r="AG29" s="63">
        <f t="shared" si="22"/>
        <v>2648.474482758621</v>
      </c>
      <c r="AH29" s="2">
        <v>1435</v>
      </c>
      <c r="AI29" s="2">
        <v>839</v>
      </c>
      <c r="AJ29" s="2">
        <v>1211</v>
      </c>
      <c r="AK29" s="2">
        <v>1875</v>
      </c>
      <c r="AL29" s="61">
        <v>-2570</v>
      </c>
      <c r="AM29" s="61">
        <v>-317.08999999999997</v>
      </c>
      <c r="AN29" s="53">
        <v>10134</v>
      </c>
      <c r="AO29" s="53">
        <v>10134</v>
      </c>
      <c r="AP29" s="53">
        <f t="shared" si="17"/>
        <v>7564</v>
      </c>
      <c r="AQ29" s="53">
        <f t="shared" si="17"/>
        <v>9816.91</v>
      </c>
      <c r="AR29" s="63">
        <v>-2542</v>
      </c>
      <c r="AS29" s="63">
        <v>-2542</v>
      </c>
      <c r="AT29" s="53">
        <f t="shared" si="18"/>
        <v>7592</v>
      </c>
      <c r="AU29" s="53">
        <f t="shared" si="18"/>
        <v>7592</v>
      </c>
    </row>
    <row r="30" spans="1:53" s="39" customFormat="1" x14ac:dyDescent="0.25">
      <c r="A30" s="39" t="str">
        <f t="shared" si="23"/>
        <v>Pier4</v>
      </c>
      <c r="B30" s="39" t="str">
        <f t="shared" si="24"/>
        <v>West Web</v>
      </c>
      <c r="C30" s="39" t="s">
        <v>42</v>
      </c>
      <c r="D30" s="39" t="str">
        <f t="shared" si="9"/>
        <v>Pier4West WebT25</v>
      </c>
      <c r="E30" s="56">
        <f t="shared" si="10"/>
        <v>12904</v>
      </c>
      <c r="F30" s="56">
        <f t="shared" si="10"/>
        <v>10376.91</v>
      </c>
      <c r="G30" s="39">
        <f t="shared" si="11"/>
        <v>8250</v>
      </c>
      <c r="H30" s="39">
        <v>6000</v>
      </c>
      <c r="I30" s="39">
        <f t="shared" si="26"/>
        <v>11</v>
      </c>
      <c r="J30" s="39">
        <f t="shared" si="25"/>
        <v>12</v>
      </c>
      <c r="K30" s="39">
        <f t="shared" si="12"/>
        <v>57750</v>
      </c>
      <c r="L30" s="39">
        <f t="shared" si="13"/>
        <v>60000</v>
      </c>
      <c r="M30" s="39">
        <v>3</v>
      </c>
      <c r="N30" s="39">
        <v>3</v>
      </c>
      <c r="O30" s="39">
        <v>6</v>
      </c>
      <c r="P30" s="39">
        <v>6</v>
      </c>
      <c r="Q30" s="39">
        <v>55</v>
      </c>
      <c r="R30" s="39">
        <v>-1053</v>
      </c>
      <c r="S30" s="39">
        <v>882</v>
      </c>
      <c r="T30" s="39">
        <v>-50</v>
      </c>
      <c r="U30" s="47">
        <f t="shared" si="14"/>
        <v>12868</v>
      </c>
      <c r="V30" s="47">
        <f t="shared" si="14"/>
        <v>12852</v>
      </c>
      <c r="W30" s="39">
        <f t="shared" si="4"/>
        <v>1462904</v>
      </c>
      <c r="X30" s="72">
        <f t="shared" si="15"/>
        <v>21998.560000000001</v>
      </c>
      <c r="Y30" s="72">
        <f t="shared" si="16"/>
        <v>22825.56</v>
      </c>
      <c r="Z30" s="55">
        <f t="shared" si="5"/>
        <v>32240.677241379308</v>
      </c>
      <c r="AA30" s="58">
        <f t="shared" si="6"/>
        <v>33243.677241379308</v>
      </c>
      <c r="AB30" s="55">
        <f t="shared" si="7"/>
        <v>58263.935172413796</v>
      </c>
      <c r="AC30" s="58">
        <f t="shared" si="8"/>
        <v>60533.958620689657</v>
      </c>
      <c r="AD30" s="55">
        <f t="shared" si="19"/>
        <v>2640.0468965517239</v>
      </c>
      <c r="AE30" s="68">
        <f t="shared" si="20"/>
        <v>3312.0468965517239</v>
      </c>
      <c r="AF30" s="55">
        <f t="shared" si="21"/>
        <v>4223.0468965517239</v>
      </c>
      <c r="AG30" s="55">
        <f t="shared" si="22"/>
        <v>3722.0468965517239</v>
      </c>
      <c r="AH30" s="39">
        <v>1900</v>
      </c>
      <c r="AI30" s="39">
        <v>1228</v>
      </c>
      <c r="AJ30" s="39">
        <v>317</v>
      </c>
      <c r="AK30" s="39">
        <v>818</v>
      </c>
      <c r="AL30" s="55">
        <v>2770</v>
      </c>
      <c r="AM30" s="55">
        <v>242.91</v>
      </c>
      <c r="AN30" s="53">
        <v>10134</v>
      </c>
      <c r="AO30" s="53">
        <v>10134</v>
      </c>
      <c r="AP30" s="53">
        <f t="shared" si="17"/>
        <v>12904</v>
      </c>
      <c r="AQ30" s="53">
        <f t="shared" si="17"/>
        <v>10376.91</v>
      </c>
      <c r="AR30" s="55">
        <v>2734</v>
      </c>
      <c r="AS30" s="55">
        <v>2718</v>
      </c>
      <c r="AT30" s="53">
        <f t="shared" si="18"/>
        <v>12868</v>
      </c>
      <c r="AU30" s="53">
        <f t="shared" si="18"/>
        <v>12852</v>
      </c>
      <c r="BA30" s="53"/>
    </row>
    <row r="31" spans="1:53" x14ac:dyDescent="0.25">
      <c r="A31" s="45" t="str">
        <f t="shared" si="23"/>
        <v>Pier4</v>
      </c>
      <c r="B31" s="45" t="s">
        <v>221</v>
      </c>
      <c r="C31" t="s">
        <v>18</v>
      </c>
      <c r="D31" s="53" t="str">
        <f t="shared" si="9"/>
        <v>Pier4Central WebT01</v>
      </c>
      <c r="E31" s="56">
        <f t="shared" si="10"/>
        <v>1576</v>
      </c>
      <c r="F31" s="56">
        <f t="shared" si="10"/>
        <v>1576</v>
      </c>
      <c r="G31" s="46">
        <f t="shared" si="11"/>
        <v>8250</v>
      </c>
      <c r="H31" s="53">
        <v>6000</v>
      </c>
      <c r="I31" s="54" t="s">
        <v>166</v>
      </c>
      <c r="J31" s="54">
        <v>0</v>
      </c>
      <c r="K31" s="46">
        <v>3750</v>
      </c>
      <c r="L31" s="46">
        <f t="shared" si="13"/>
        <v>6000</v>
      </c>
      <c r="M31" t="s">
        <v>166</v>
      </c>
      <c r="N31" s="53" t="s">
        <v>166</v>
      </c>
      <c r="O31" t="s">
        <v>166</v>
      </c>
      <c r="P31" s="53" t="s">
        <v>166</v>
      </c>
      <c r="Q31" s="42">
        <v>0</v>
      </c>
      <c r="R31">
        <v>0</v>
      </c>
      <c r="S31" s="42">
        <v>0</v>
      </c>
      <c r="T31">
        <v>0</v>
      </c>
      <c r="U31" s="47">
        <f t="shared" si="14"/>
        <v>1576</v>
      </c>
      <c r="V31" s="47">
        <f t="shared" si="14"/>
        <v>1576</v>
      </c>
      <c r="W31" s="53">
        <f t="shared" si="4"/>
        <v>1451576</v>
      </c>
      <c r="X31" s="71">
        <v>100</v>
      </c>
      <c r="Y31" s="71">
        <v>200</v>
      </c>
      <c r="Z31" s="47">
        <v>100</v>
      </c>
      <c r="AA31" s="57">
        <v>200</v>
      </c>
      <c r="AB31" s="56">
        <f t="shared" si="7"/>
        <v>3754.0758620689653</v>
      </c>
      <c r="AC31" s="57">
        <f t="shared" si="8"/>
        <v>6006.5213793103449</v>
      </c>
      <c r="AD31" s="47">
        <v>2381</v>
      </c>
      <c r="AE31" s="67">
        <v>3110</v>
      </c>
      <c r="AF31" s="47">
        <v>3734</v>
      </c>
      <c r="AG31" s="47">
        <v>3154</v>
      </c>
      <c r="AH31" s="53" t="s">
        <v>166</v>
      </c>
      <c r="AI31" s="53" t="s">
        <v>166</v>
      </c>
      <c r="AJ31" t="s">
        <v>166</v>
      </c>
      <c r="AK31" t="s">
        <v>166</v>
      </c>
      <c r="AL31" s="56">
        <v>-275</v>
      </c>
      <c r="AM31" s="56">
        <v>-275</v>
      </c>
      <c r="AN31" s="53">
        <v>1851</v>
      </c>
      <c r="AO31" s="53">
        <f>AN31</f>
        <v>1851</v>
      </c>
      <c r="AP31" s="53">
        <f t="shared" si="17"/>
        <v>1576</v>
      </c>
      <c r="AQ31" s="53">
        <f t="shared" si="17"/>
        <v>1576</v>
      </c>
      <c r="AR31" s="47">
        <v>-275</v>
      </c>
      <c r="AS31" s="47">
        <v>-275</v>
      </c>
      <c r="AT31" s="53">
        <f t="shared" si="18"/>
        <v>1576</v>
      </c>
      <c r="AU31" s="53">
        <f t="shared" si="18"/>
        <v>1576</v>
      </c>
      <c r="BA31" s="53"/>
    </row>
    <row r="32" spans="1:53" x14ac:dyDescent="0.25">
      <c r="A32" s="45" t="str">
        <f t="shared" si="23"/>
        <v>Pier4</v>
      </c>
      <c r="B32" s="45" t="str">
        <f t="shared" si="24"/>
        <v>Central Web</v>
      </c>
      <c r="C32" t="s">
        <v>19</v>
      </c>
      <c r="D32" s="53" t="str">
        <f t="shared" si="9"/>
        <v>Pier4Central WebT02</v>
      </c>
      <c r="E32" s="56">
        <f t="shared" si="10"/>
        <v>2126</v>
      </c>
      <c r="F32" s="56">
        <f t="shared" si="10"/>
        <v>2126</v>
      </c>
      <c r="G32" s="46">
        <f t="shared" si="11"/>
        <v>8250</v>
      </c>
      <c r="H32" s="53">
        <v>6000</v>
      </c>
      <c r="I32" s="54">
        <v>0</v>
      </c>
      <c r="J32" s="54">
        <v>0</v>
      </c>
      <c r="K32" s="46">
        <f t="shared" si="12"/>
        <v>8250</v>
      </c>
      <c r="L32" s="46">
        <f t="shared" si="13"/>
        <v>6000</v>
      </c>
      <c r="M32" t="s">
        <v>166</v>
      </c>
      <c r="N32" s="53" t="s">
        <v>166</v>
      </c>
      <c r="O32" t="s">
        <v>166</v>
      </c>
      <c r="P32" s="53" t="s">
        <v>166</v>
      </c>
      <c r="Q32" s="42">
        <v>0</v>
      </c>
      <c r="R32">
        <v>0</v>
      </c>
      <c r="S32" s="42">
        <v>0</v>
      </c>
      <c r="T32">
        <v>0</v>
      </c>
      <c r="U32" s="47">
        <f t="shared" si="14"/>
        <v>2126</v>
      </c>
      <c r="V32" s="47">
        <f t="shared" si="14"/>
        <v>2126</v>
      </c>
      <c r="W32" s="53">
        <f t="shared" si="4"/>
        <v>1452126</v>
      </c>
      <c r="X32" s="71">
        <v>100</v>
      </c>
      <c r="Y32" s="71">
        <v>150</v>
      </c>
      <c r="Z32" s="47">
        <v>100</v>
      </c>
      <c r="AA32" s="57">
        <v>150</v>
      </c>
      <c r="AB32" s="56">
        <f t="shared" si="7"/>
        <v>8262.0962068965509</v>
      </c>
      <c r="AC32" s="57">
        <f t="shared" si="8"/>
        <v>6008.7972413793095</v>
      </c>
      <c r="AD32" s="47">
        <f t="shared" ref="AD32:AD55" si="27">4500*$W32/Radius_at_L201-AH32</f>
        <v>3662.5979310344828</v>
      </c>
      <c r="AE32" s="67">
        <f t="shared" ref="AE32:AE55" si="28">4500*$W32/Radius_at_L201-AI32</f>
        <v>4173.5979310344828</v>
      </c>
      <c r="AF32" s="47">
        <v>3734</v>
      </c>
      <c r="AG32" s="47">
        <v>3154</v>
      </c>
      <c r="AH32" s="53">
        <v>844</v>
      </c>
      <c r="AI32" s="53">
        <v>333</v>
      </c>
      <c r="AJ32" t="s">
        <v>166</v>
      </c>
      <c r="AK32" t="s">
        <v>166</v>
      </c>
      <c r="AL32" s="56">
        <v>275</v>
      </c>
      <c r="AM32" s="56">
        <v>275</v>
      </c>
      <c r="AN32" s="53">
        <f>AN31</f>
        <v>1851</v>
      </c>
      <c r="AO32" s="53">
        <f>AO31</f>
        <v>1851</v>
      </c>
      <c r="AP32" s="53">
        <f t="shared" si="17"/>
        <v>2126</v>
      </c>
      <c r="AQ32" s="53">
        <f t="shared" si="17"/>
        <v>2126</v>
      </c>
      <c r="AR32" s="47">
        <v>275</v>
      </c>
      <c r="AS32" s="47">
        <v>275</v>
      </c>
      <c r="AT32" s="53">
        <f t="shared" si="18"/>
        <v>2126</v>
      </c>
      <c r="AU32" s="53">
        <f t="shared" si="18"/>
        <v>2126</v>
      </c>
      <c r="BA32" s="53"/>
    </row>
    <row r="33" spans="1:53" x14ac:dyDescent="0.25">
      <c r="A33" s="45" t="str">
        <f t="shared" si="23"/>
        <v>Pier4</v>
      </c>
      <c r="B33" s="45" t="str">
        <f t="shared" si="24"/>
        <v>Central Web</v>
      </c>
      <c r="C33" t="s">
        <v>20</v>
      </c>
      <c r="D33" s="53" t="str">
        <f t="shared" si="9"/>
        <v>Pier4Central WebT03</v>
      </c>
      <c r="E33" s="56">
        <f t="shared" si="10"/>
        <v>1281</v>
      </c>
      <c r="F33" s="56">
        <f t="shared" si="10"/>
        <v>1576</v>
      </c>
      <c r="G33" s="46">
        <f t="shared" si="11"/>
        <v>8250</v>
      </c>
      <c r="H33" s="53">
        <v>6000</v>
      </c>
      <c r="I33" s="54">
        <v>0</v>
      </c>
      <c r="J33" s="54">
        <f>J31+1</f>
        <v>1</v>
      </c>
      <c r="K33" s="46">
        <f t="shared" si="12"/>
        <v>8250</v>
      </c>
      <c r="L33" s="46">
        <f t="shared" si="13"/>
        <v>10500</v>
      </c>
      <c r="M33">
        <v>-1</v>
      </c>
      <c r="N33" s="53">
        <v>-1</v>
      </c>
      <c r="O33">
        <v>0</v>
      </c>
      <c r="P33" s="53">
        <v>0</v>
      </c>
      <c r="Q33">
        <v>969</v>
      </c>
      <c r="R33">
        <v>969</v>
      </c>
      <c r="S33">
        <v>1913</v>
      </c>
      <c r="T33">
        <v>1913</v>
      </c>
      <c r="U33" s="47">
        <f t="shared" si="14"/>
        <v>1326</v>
      </c>
      <c r="V33" s="47">
        <f t="shared" si="14"/>
        <v>1326</v>
      </c>
      <c r="W33" s="53">
        <f t="shared" si="4"/>
        <v>1451281</v>
      </c>
      <c r="X33" s="71">
        <f t="shared" si="15"/>
        <v>4722.312931034483</v>
      </c>
      <c r="Y33" s="71">
        <f t="shared" si="16"/>
        <v>5666.312931034483</v>
      </c>
      <c r="Z33" s="47">
        <f t="shared" ref="Z33:Z69" si="29">(H33+4500*O33)*(W33/Radius_at_L201)+R33</f>
        <v>6974.3006896551733</v>
      </c>
      <c r="AA33" s="57">
        <f t="shared" ref="AA33:AA69" si="30">(H33+4500*P33)*(W33/Radius_at_L201)+T33</f>
        <v>7918.3006896551733</v>
      </c>
      <c r="AB33" s="56">
        <f t="shared" si="7"/>
        <v>8257.2884482758636</v>
      </c>
      <c r="AC33" s="57">
        <f t="shared" si="8"/>
        <v>10509.276206896553</v>
      </c>
      <c r="AD33" s="47">
        <f t="shared" si="27"/>
        <v>3006.9755172413797</v>
      </c>
      <c r="AE33" s="67">
        <f t="shared" si="28"/>
        <v>3607.9755172413797</v>
      </c>
      <c r="AF33" s="47">
        <f t="shared" ref="AF33:AF55" si="31">4500*$W33/Radius_at_L201-AJ33</f>
        <v>3295.9755172413797</v>
      </c>
      <c r="AG33" s="47">
        <f t="shared" ref="AG33:AG55" si="32">4500*$W33/Radius_at_L201-AK33</f>
        <v>2625.9755172413797</v>
      </c>
      <c r="AH33" s="53">
        <v>1497</v>
      </c>
      <c r="AI33" s="53">
        <v>896</v>
      </c>
      <c r="AJ33">
        <v>1208</v>
      </c>
      <c r="AK33">
        <v>1878</v>
      </c>
      <c r="AL33" s="56">
        <v>-570</v>
      </c>
      <c r="AM33" s="56">
        <v>-275</v>
      </c>
      <c r="AN33" s="53">
        <f t="shared" ref="AN33:AO55" si="33">AN32</f>
        <v>1851</v>
      </c>
      <c r="AO33" s="53">
        <f t="shared" si="33"/>
        <v>1851</v>
      </c>
      <c r="AP33" s="53">
        <f t="shared" si="17"/>
        <v>1281</v>
      </c>
      <c r="AQ33" s="53">
        <f t="shared" si="17"/>
        <v>1576</v>
      </c>
      <c r="AR33" s="47">
        <v>-525</v>
      </c>
      <c r="AS33" s="47">
        <v>-525</v>
      </c>
      <c r="AT33" s="53">
        <f t="shared" si="18"/>
        <v>1326</v>
      </c>
      <c r="AU33" s="53">
        <f t="shared" si="18"/>
        <v>1326</v>
      </c>
      <c r="BA33" s="53"/>
    </row>
    <row r="34" spans="1:53" x14ac:dyDescent="0.25">
      <c r="A34" s="45" t="str">
        <f t="shared" si="23"/>
        <v>Pier4</v>
      </c>
      <c r="B34" s="45" t="str">
        <f t="shared" si="24"/>
        <v>Central Web</v>
      </c>
      <c r="C34" t="s">
        <v>21</v>
      </c>
      <c r="D34" s="53" t="str">
        <f t="shared" si="9"/>
        <v>Pier4Central WebT04</v>
      </c>
      <c r="E34" s="56">
        <f t="shared" si="10"/>
        <v>2421</v>
      </c>
      <c r="F34" s="56">
        <f t="shared" si="10"/>
        <v>2126</v>
      </c>
      <c r="G34" s="46">
        <f t="shared" si="11"/>
        <v>8250</v>
      </c>
      <c r="H34" s="53">
        <v>6000</v>
      </c>
      <c r="I34" s="54">
        <v>1</v>
      </c>
      <c r="J34" s="54">
        <f t="shared" ref="J34:J55" si="34">J32+1</f>
        <v>1</v>
      </c>
      <c r="K34" s="46">
        <f t="shared" si="12"/>
        <v>12750</v>
      </c>
      <c r="L34" s="46">
        <f t="shared" si="13"/>
        <v>10500</v>
      </c>
      <c r="M34">
        <v>0</v>
      </c>
      <c r="N34" s="53">
        <v>0</v>
      </c>
      <c r="O34">
        <v>0</v>
      </c>
      <c r="P34" s="53">
        <v>0</v>
      </c>
      <c r="Q34">
        <v>-814</v>
      </c>
      <c r="R34">
        <v>514</v>
      </c>
      <c r="S34">
        <v>-208</v>
      </c>
      <c r="T34">
        <v>1352</v>
      </c>
      <c r="U34" s="47">
        <f t="shared" si="14"/>
        <v>2402</v>
      </c>
      <c r="V34" s="47">
        <f t="shared" si="14"/>
        <v>2386</v>
      </c>
      <c r="W34" s="53">
        <f t="shared" si="4"/>
        <v>1452421</v>
      </c>
      <c r="X34" s="71">
        <f t="shared" si="15"/>
        <v>7449.774655172414</v>
      </c>
      <c r="Y34" s="71">
        <f t="shared" si="16"/>
        <v>8055.774655172414</v>
      </c>
      <c r="Z34" s="47">
        <f t="shared" si="29"/>
        <v>6524.0179310344829</v>
      </c>
      <c r="AA34" s="57">
        <f t="shared" si="30"/>
        <v>7362.0179310344829</v>
      </c>
      <c r="AB34" s="56">
        <f t="shared" si="7"/>
        <v>12771.288103448276</v>
      </c>
      <c r="AC34" s="57">
        <f t="shared" si="8"/>
        <v>10517.531379310345</v>
      </c>
      <c r="AD34" s="47">
        <f t="shared" si="27"/>
        <v>2628.5134482758622</v>
      </c>
      <c r="AE34" s="67">
        <f t="shared" si="28"/>
        <v>3301.5134482758622</v>
      </c>
      <c r="AF34" s="47">
        <f t="shared" si="31"/>
        <v>4216.5134482758622</v>
      </c>
      <c r="AG34" s="47">
        <f t="shared" si="32"/>
        <v>3715.5134482758622</v>
      </c>
      <c r="AH34" s="53">
        <v>1879</v>
      </c>
      <c r="AI34" s="53">
        <v>1206</v>
      </c>
      <c r="AJ34">
        <v>291</v>
      </c>
      <c r="AK34">
        <v>792</v>
      </c>
      <c r="AL34" s="56">
        <v>570</v>
      </c>
      <c r="AM34" s="56">
        <v>275</v>
      </c>
      <c r="AN34" s="53">
        <f t="shared" si="33"/>
        <v>1851</v>
      </c>
      <c r="AO34" s="53">
        <f t="shared" si="33"/>
        <v>1851</v>
      </c>
      <c r="AP34" s="53">
        <f t="shared" si="17"/>
        <v>2421</v>
      </c>
      <c r="AQ34" s="53">
        <f t="shared" si="17"/>
        <v>2126</v>
      </c>
      <c r="AR34" s="47">
        <v>551</v>
      </c>
      <c r="AS34" s="47">
        <v>535</v>
      </c>
      <c r="AT34" s="53">
        <f t="shared" si="18"/>
        <v>2402</v>
      </c>
      <c r="AU34" s="53">
        <f t="shared" si="18"/>
        <v>2386</v>
      </c>
      <c r="BA34" s="53"/>
    </row>
    <row r="35" spans="1:53" x14ac:dyDescent="0.25">
      <c r="A35" s="45" t="str">
        <f t="shared" si="23"/>
        <v>Pier4</v>
      </c>
      <c r="B35" s="45" t="str">
        <f t="shared" si="24"/>
        <v>Central Web</v>
      </c>
      <c r="C35" t="s">
        <v>22</v>
      </c>
      <c r="D35" s="53" t="str">
        <f t="shared" si="9"/>
        <v>Pier4Central WebT05</v>
      </c>
      <c r="E35" s="56">
        <f t="shared" si="10"/>
        <v>1081</v>
      </c>
      <c r="F35" s="56">
        <f t="shared" si="10"/>
        <v>1576</v>
      </c>
      <c r="G35" s="46">
        <f t="shared" si="11"/>
        <v>8250</v>
      </c>
      <c r="H35" s="53">
        <v>6000</v>
      </c>
      <c r="I35" s="54">
        <v>1</v>
      </c>
      <c r="J35" s="54">
        <f t="shared" si="34"/>
        <v>2</v>
      </c>
      <c r="K35" s="46">
        <f t="shared" si="12"/>
        <v>12750</v>
      </c>
      <c r="L35" s="46">
        <f t="shared" si="13"/>
        <v>15000</v>
      </c>
      <c r="M35">
        <v>0</v>
      </c>
      <c r="N35" s="53">
        <v>0</v>
      </c>
      <c r="O35">
        <v>1</v>
      </c>
      <c r="P35" s="53">
        <v>1</v>
      </c>
      <c r="Q35">
        <v>-1140</v>
      </c>
      <c r="R35">
        <v>-1141</v>
      </c>
      <c r="S35">
        <v>-210</v>
      </c>
      <c r="T35">
        <v>-211</v>
      </c>
      <c r="U35" s="47">
        <f t="shared" si="14"/>
        <v>1125</v>
      </c>
      <c r="V35" s="47">
        <f t="shared" si="14"/>
        <v>1125</v>
      </c>
      <c r="W35" s="53">
        <f t="shared" si="4"/>
        <v>1451081</v>
      </c>
      <c r="X35" s="71">
        <f t="shared" si="15"/>
        <v>7116.1505172413799</v>
      </c>
      <c r="Y35" s="71">
        <f t="shared" si="16"/>
        <v>8046.1505172413799</v>
      </c>
      <c r="Z35" s="47">
        <f t="shared" si="29"/>
        <v>9366.8279310344824</v>
      </c>
      <c r="AA35" s="57">
        <f t="shared" si="30"/>
        <v>10296.827931034482</v>
      </c>
      <c r="AB35" s="56">
        <f t="shared" si="7"/>
        <v>12759.505344827587</v>
      </c>
      <c r="AC35" s="57">
        <f t="shared" si="8"/>
        <v>15011.182758620689</v>
      </c>
      <c r="AD35" s="47">
        <f t="shared" si="27"/>
        <v>3006.3548275862067</v>
      </c>
      <c r="AE35" s="67">
        <f t="shared" si="28"/>
        <v>3607.3548275862067</v>
      </c>
      <c r="AF35" s="47">
        <f t="shared" si="31"/>
        <v>3295.3548275862067</v>
      </c>
      <c r="AG35" s="47">
        <f t="shared" si="32"/>
        <v>2625.3548275862067</v>
      </c>
      <c r="AH35" s="53">
        <v>1497</v>
      </c>
      <c r="AI35" s="53">
        <v>896</v>
      </c>
      <c r="AJ35">
        <v>1208</v>
      </c>
      <c r="AK35">
        <v>1878</v>
      </c>
      <c r="AL35" s="56">
        <v>-770</v>
      </c>
      <c r="AM35" s="56">
        <v>-275</v>
      </c>
      <c r="AN35" s="53">
        <f t="shared" si="33"/>
        <v>1851</v>
      </c>
      <c r="AO35" s="53">
        <f t="shared" si="33"/>
        <v>1851</v>
      </c>
      <c r="AP35" s="53">
        <f t="shared" si="17"/>
        <v>1081</v>
      </c>
      <c r="AQ35" s="53">
        <f t="shared" si="17"/>
        <v>1576</v>
      </c>
      <c r="AR35" s="47">
        <v>-726</v>
      </c>
      <c r="AS35" s="47">
        <v>-726</v>
      </c>
      <c r="AT35" s="53">
        <f t="shared" si="18"/>
        <v>1125</v>
      </c>
      <c r="AU35" s="53">
        <f t="shared" si="18"/>
        <v>1125</v>
      </c>
      <c r="BA35" s="53"/>
    </row>
    <row r="36" spans="1:53" x14ac:dyDescent="0.25">
      <c r="A36" s="45" t="str">
        <f t="shared" si="23"/>
        <v>Pier4</v>
      </c>
      <c r="B36" s="45" t="str">
        <f t="shared" si="24"/>
        <v>Central Web</v>
      </c>
      <c r="C36" t="s">
        <v>23</v>
      </c>
      <c r="D36" s="53" t="str">
        <f t="shared" si="9"/>
        <v>Pier4Central WebT06</v>
      </c>
      <c r="E36" s="56">
        <f t="shared" si="10"/>
        <v>2621</v>
      </c>
      <c r="F36" s="56">
        <f t="shared" si="10"/>
        <v>2126</v>
      </c>
      <c r="G36" s="46">
        <f t="shared" si="11"/>
        <v>8250</v>
      </c>
      <c r="H36" s="53">
        <v>6000</v>
      </c>
      <c r="I36" s="54">
        <f>I34+1</f>
        <v>2</v>
      </c>
      <c r="J36" s="54">
        <f t="shared" si="34"/>
        <v>2</v>
      </c>
      <c r="K36" s="46">
        <f t="shared" si="12"/>
        <v>17250</v>
      </c>
      <c r="L36" s="46">
        <f t="shared" si="13"/>
        <v>15000</v>
      </c>
      <c r="M36">
        <v>0</v>
      </c>
      <c r="N36" s="53">
        <v>0</v>
      </c>
      <c r="O36">
        <v>1</v>
      </c>
      <c r="P36" s="53">
        <v>1</v>
      </c>
      <c r="Q36">
        <v>409</v>
      </c>
      <c r="R36">
        <v>-1857</v>
      </c>
      <c r="S36">
        <v>1068</v>
      </c>
      <c r="T36">
        <v>-1004</v>
      </c>
      <c r="U36" s="47">
        <f t="shared" si="14"/>
        <v>2601</v>
      </c>
      <c r="V36" s="47">
        <f t="shared" si="14"/>
        <v>2584</v>
      </c>
      <c r="W36" s="53">
        <f t="shared" si="4"/>
        <v>1452621</v>
      </c>
      <c r="X36" s="71">
        <f t="shared" si="15"/>
        <v>8673.9125862068959</v>
      </c>
      <c r="Y36" s="71">
        <f t="shared" si="16"/>
        <v>9332.9125862068959</v>
      </c>
      <c r="Z36" s="47">
        <f t="shared" si="29"/>
        <v>8661.9796551724121</v>
      </c>
      <c r="AA36" s="57">
        <f t="shared" si="30"/>
        <v>9514.9796551724121</v>
      </c>
      <c r="AB36" s="56">
        <f t="shared" si="7"/>
        <v>17281.180862068963</v>
      </c>
      <c r="AC36" s="57">
        <f t="shared" si="8"/>
        <v>15027.113793103446</v>
      </c>
      <c r="AD36" s="47">
        <f t="shared" si="27"/>
        <v>2629.1341379310343</v>
      </c>
      <c r="AE36" s="67">
        <f t="shared" si="28"/>
        <v>3302.1341379310343</v>
      </c>
      <c r="AF36" s="47">
        <f t="shared" si="31"/>
        <v>4217.1341379310343</v>
      </c>
      <c r="AG36" s="47">
        <f t="shared" si="32"/>
        <v>3716.1341379310343</v>
      </c>
      <c r="AH36" s="53">
        <v>1879</v>
      </c>
      <c r="AI36" s="53">
        <v>1206</v>
      </c>
      <c r="AJ36">
        <v>291</v>
      </c>
      <c r="AK36">
        <v>792</v>
      </c>
      <c r="AL36" s="56">
        <v>770</v>
      </c>
      <c r="AM36" s="56">
        <v>275</v>
      </c>
      <c r="AN36" s="53">
        <f t="shared" si="33"/>
        <v>1851</v>
      </c>
      <c r="AO36" s="53">
        <f t="shared" si="33"/>
        <v>1851</v>
      </c>
      <c r="AP36" s="53">
        <f t="shared" si="17"/>
        <v>2621</v>
      </c>
      <c r="AQ36" s="53">
        <f t="shared" si="17"/>
        <v>2126</v>
      </c>
      <c r="AR36" s="47">
        <v>750</v>
      </c>
      <c r="AS36" s="47">
        <v>733</v>
      </c>
      <c r="AT36" s="53">
        <f t="shared" si="18"/>
        <v>2601</v>
      </c>
      <c r="AU36" s="53">
        <f t="shared" si="18"/>
        <v>2584</v>
      </c>
      <c r="BA36" s="53"/>
    </row>
    <row r="37" spans="1:53" x14ac:dyDescent="0.25">
      <c r="A37" s="45" t="str">
        <f t="shared" si="23"/>
        <v>Pier4</v>
      </c>
      <c r="B37" s="45" t="str">
        <f t="shared" si="24"/>
        <v>Central Web</v>
      </c>
      <c r="C37" t="s">
        <v>24</v>
      </c>
      <c r="D37" s="53" t="str">
        <f t="shared" si="9"/>
        <v>Pier4Central WebT07</v>
      </c>
      <c r="E37" s="56">
        <f t="shared" si="10"/>
        <v>881</v>
      </c>
      <c r="F37" s="56">
        <f t="shared" si="10"/>
        <v>1576</v>
      </c>
      <c r="G37" s="46">
        <f t="shared" si="11"/>
        <v>8250</v>
      </c>
      <c r="H37" s="53">
        <v>6000</v>
      </c>
      <c r="I37" s="54">
        <f t="shared" ref="I37:I55" si="35">I35+1</f>
        <v>2</v>
      </c>
      <c r="J37" s="54">
        <f t="shared" si="34"/>
        <v>3</v>
      </c>
      <c r="K37" s="46">
        <f t="shared" si="12"/>
        <v>17250</v>
      </c>
      <c r="L37" s="46">
        <f t="shared" si="13"/>
        <v>19500</v>
      </c>
      <c r="M37">
        <v>0</v>
      </c>
      <c r="N37" s="53">
        <v>0</v>
      </c>
      <c r="O37">
        <v>1</v>
      </c>
      <c r="P37" s="53">
        <v>1</v>
      </c>
      <c r="Q37">
        <v>1221</v>
      </c>
      <c r="R37">
        <v>1220</v>
      </c>
      <c r="S37">
        <v>2136</v>
      </c>
      <c r="T37">
        <v>2135</v>
      </c>
      <c r="U37" s="47">
        <f t="shared" si="14"/>
        <v>924</v>
      </c>
      <c r="V37" s="47">
        <f t="shared" si="14"/>
        <v>924</v>
      </c>
      <c r="W37" s="53">
        <f t="shared" si="4"/>
        <v>1450881</v>
      </c>
      <c r="X37" s="71">
        <f t="shared" si="15"/>
        <v>9476.0125862068962</v>
      </c>
      <c r="Y37" s="71">
        <f t="shared" si="16"/>
        <v>10391.012586206896</v>
      </c>
      <c r="Z37" s="47">
        <f t="shared" si="29"/>
        <v>11726.379655172414</v>
      </c>
      <c r="AA37" s="57">
        <f t="shared" si="30"/>
        <v>12641.379655172414</v>
      </c>
      <c r="AB37" s="56">
        <f t="shared" si="7"/>
        <v>17260.480862068966</v>
      </c>
      <c r="AC37" s="57">
        <f t="shared" si="8"/>
        <v>19511.847931034485</v>
      </c>
      <c r="AD37" s="47">
        <f t="shared" si="27"/>
        <v>3005.7341379310346</v>
      </c>
      <c r="AE37" s="67">
        <f t="shared" si="28"/>
        <v>3606.7341379310346</v>
      </c>
      <c r="AF37" s="47">
        <f t="shared" si="31"/>
        <v>3294.7341379310346</v>
      </c>
      <c r="AG37" s="47">
        <f t="shared" si="32"/>
        <v>2624.7341379310346</v>
      </c>
      <c r="AH37" s="53">
        <v>1497</v>
      </c>
      <c r="AI37" s="53">
        <v>896</v>
      </c>
      <c r="AJ37">
        <v>1208</v>
      </c>
      <c r="AK37">
        <v>1878</v>
      </c>
      <c r="AL37" s="56">
        <v>-970</v>
      </c>
      <c r="AM37" s="56">
        <v>-275</v>
      </c>
      <c r="AN37" s="53">
        <f t="shared" si="33"/>
        <v>1851</v>
      </c>
      <c r="AO37" s="53">
        <f t="shared" si="33"/>
        <v>1851</v>
      </c>
      <c r="AP37" s="53">
        <f t="shared" si="17"/>
        <v>881</v>
      </c>
      <c r="AQ37" s="53">
        <f t="shared" si="17"/>
        <v>1576</v>
      </c>
      <c r="AR37" s="47">
        <v>-927</v>
      </c>
      <c r="AS37" s="47">
        <v>-927</v>
      </c>
      <c r="AT37" s="53">
        <f t="shared" si="18"/>
        <v>924</v>
      </c>
      <c r="AU37" s="53">
        <f t="shared" si="18"/>
        <v>924</v>
      </c>
      <c r="BA37" s="53"/>
    </row>
    <row r="38" spans="1:53" x14ac:dyDescent="0.25">
      <c r="A38" s="45" t="str">
        <f t="shared" si="23"/>
        <v>Pier4</v>
      </c>
      <c r="B38" s="45" t="str">
        <f t="shared" si="24"/>
        <v>Central Web</v>
      </c>
      <c r="C38" t="s">
        <v>25</v>
      </c>
      <c r="D38" s="53" t="str">
        <f t="shared" si="9"/>
        <v>Pier4Central WebT08</v>
      </c>
      <c r="E38" s="56">
        <f t="shared" si="10"/>
        <v>2821</v>
      </c>
      <c r="F38" s="56">
        <f t="shared" si="10"/>
        <v>2126</v>
      </c>
      <c r="G38" s="46">
        <f t="shared" si="11"/>
        <v>8250</v>
      </c>
      <c r="H38" s="53">
        <v>6000</v>
      </c>
      <c r="I38" s="54">
        <f t="shared" si="35"/>
        <v>3</v>
      </c>
      <c r="J38" s="54">
        <f t="shared" si="34"/>
        <v>3</v>
      </c>
      <c r="K38" s="46">
        <f t="shared" si="12"/>
        <v>21750</v>
      </c>
      <c r="L38" s="46">
        <f t="shared" si="13"/>
        <v>19500</v>
      </c>
      <c r="M38">
        <v>0</v>
      </c>
      <c r="N38" s="53">
        <v>0</v>
      </c>
      <c r="O38">
        <v>1</v>
      </c>
      <c r="P38" s="53">
        <v>1</v>
      </c>
      <c r="Q38">
        <v>1805</v>
      </c>
      <c r="R38">
        <v>324</v>
      </c>
      <c r="S38">
        <v>2455</v>
      </c>
      <c r="T38">
        <v>1194</v>
      </c>
      <c r="U38" s="47">
        <f t="shared" si="14"/>
        <v>2799</v>
      </c>
      <c r="V38" s="47">
        <f t="shared" si="14"/>
        <v>2783</v>
      </c>
      <c r="W38" s="53">
        <f t="shared" ref="W38:W69" si="36">Radius_at_L201+E38</f>
        <v>1452821</v>
      </c>
      <c r="X38" s="71">
        <f t="shared" ref="X38:X69" si="37">(G38+4500*M38)*(W38/Radius_at_L201)+Q38</f>
        <v>10071.05051724138</v>
      </c>
      <c r="Y38" s="71">
        <f t="shared" ref="Y38:Y69" si="38">(G38+4500*N38)*(W38/Radius_at_L201)+S38</f>
        <v>10721.05051724138</v>
      </c>
      <c r="Z38" s="47">
        <f t="shared" si="29"/>
        <v>10844.427931034483</v>
      </c>
      <c r="AA38" s="57">
        <f t="shared" si="30"/>
        <v>11714.427931034483</v>
      </c>
      <c r="AB38" s="56">
        <f t="shared" ref="AB38:AB69" si="39">K38*(W38/Radius_at_L201)</f>
        <v>21792.315000000002</v>
      </c>
      <c r="AC38" s="57">
        <f t="shared" ref="AC38:AC69" si="40">L38*(W38/Radius_at_L201)</f>
        <v>19537.937586206899</v>
      </c>
      <c r="AD38" s="47">
        <f t="shared" si="27"/>
        <v>2629.7548275862073</v>
      </c>
      <c r="AE38" s="67">
        <f t="shared" si="28"/>
        <v>3302.7548275862073</v>
      </c>
      <c r="AF38" s="47">
        <f t="shared" si="31"/>
        <v>4217.7548275862073</v>
      </c>
      <c r="AG38" s="47">
        <f t="shared" si="32"/>
        <v>3716.7548275862073</v>
      </c>
      <c r="AH38" s="53">
        <v>1879</v>
      </c>
      <c r="AI38" s="53">
        <v>1206</v>
      </c>
      <c r="AJ38">
        <v>291</v>
      </c>
      <c r="AK38">
        <v>792</v>
      </c>
      <c r="AL38" s="56">
        <v>970</v>
      </c>
      <c r="AM38" s="56">
        <v>275</v>
      </c>
      <c r="AN38" s="53">
        <f t="shared" si="33"/>
        <v>1851</v>
      </c>
      <c r="AO38" s="53">
        <f t="shared" si="33"/>
        <v>1851</v>
      </c>
      <c r="AP38" s="53">
        <f t="shared" si="17"/>
        <v>2821</v>
      </c>
      <c r="AQ38" s="53">
        <f t="shared" si="17"/>
        <v>2126</v>
      </c>
      <c r="AR38" s="47">
        <v>948</v>
      </c>
      <c r="AS38" s="47">
        <v>932</v>
      </c>
      <c r="AT38" s="53">
        <f t="shared" si="18"/>
        <v>2799</v>
      </c>
      <c r="AU38" s="53">
        <f t="shared" si="18"/>
        <v>2783</v>
      </c>
      <c r="BA38" s="53"/>
    </row>
    <row r="39" spans="1:53" x14ac:dyDescent="0.25">
      <c r="A39" s="45" t="str">
        <f t="shared" si="23"/>
        <v>Pier4</v>
      </c>
      <c r="B39" s="45" t="str">
        <f t="shared" si="24"/>
        <v>Central Web</v>
      </c>
      <c r="C39" t="s">
        <v>26</v>
      </c>
      <c r="D39" s="53" t="str">
        <f t="shared" si="9"/>
        <v>Pier4Central WebT09</v>
      </c>
      <c r="E39" s="56">
        <f t="shared" si="10"/>
        <v>681</v>
      </c>
      <c r="F39" s="56">
        <f t="shared" si="10"/>
        <v>1576</v>
      </c>
      <c r="G39" s="46">
        <f t="shared" si="11"/>
        <v>8250</v>
      </c>
      <c r="H39" s="53">
        <v>6000</v>
      </c>
      <c r="I39" s="54">
        <f t="shared" si="35"/>
        <v>3</v>
      </c>
      <c r="J39" s="54">
        <f t="shared" si="34"/>
        <v>4</v>
      </c>
      <c r="K39" s="46">
        <f t="shared" si="12"/>
        <v>21750</v>
      </c>
      <c r="L39" s="46">
        <f t="shared" si="13"/>
        <v>24000</v>
      </c>
      <c r="M39">
        <v>1</v>
      </c>
      <c r="N39" s="53">
        <v>1</v>
      </c>
      <c r="O39">
        <v>2</v>
      </c>
      <c r="P39" s="53">
        <v>2</v>
      </c>
      <c r="Q39">
        <v>-957</v>
      </c>
      <c r="R39">
        <v>-959</v>
      </c>
      <c r="S39">
        <v>-57</v>
      </c>
      <c r="T39">
        <v>-59</v>
      </c>
      <c r="U39" s="47">
        <f t="shared" si="14"/>
        <v>723</v>
      </c>
      <c r="V39" s="47">
        <f t="shared" si="14"/>
        <v>723</v>
      </c>
      <c r="W39" s="53">
        <f t="shared" si="36"/>
        <v>1450681</v>
      </c>
      <c r="X39" s="71">
        <f t="shared" si="37"/>
        <v>11798.988103448275</v>
      </c>
      <c r="Y39" s="71">
        <f t="shared" si="38"/>
        <v>12698.988103448275</v>
      </c>
      <c r="Z39" s="47">
        <f t="shared" si="29"/>
        <v>14048.044827586205</v>
      </c>
      <c r="AA39" s="57">
        <f t="shared" si="30"/>
        <v>14948.044827586205</v>
      </c>
      <c r="AB39" s="56">
        <f t="shared" si="39"/>
        <v>21760.214999999997</v>
      </c>
      <c r="AC39" s="57">
        <f t="shared" si="40"/>
        <v>24011.271724137929</v>
      </c>
      <c r="AD39" s="47">
        <f t="shared" si="27"/>
        <v>3005.1134482758616</v>
      </c>
      <c r="AE39" s="67">
        <f t="shared" si="28"/>
        <v>3606.1134482758616</v>
      </c>
      <c r="AF39" s="47">
        <f t="shared" si="31"/>
        <v>3294.1134482758616</v>
      </c>
      <c r="AG39" s="47">
        <f t="shared" si="32"/>
        <v>2624.1134482758616</v>
      </c>
      <c r="AH39" s="53">
        <v>1497</v>
      </c>
      <c r="AI39" s="53">
        <v>896</v>
      </c>
      <c r="AJ39">
        <v>1208</v>
      </c>
      <c r="AK39">
        <v>1878</v>
      </c>
      <c r="AL39" s="56">
        <v>-1170</v>
      </c>
      <c r="AM39" s="56">
        <v>-275</v>
      </c>
      <c r="AN39" s="53">
        <f t="shared" si="33"/>
        <v>1851</v>
      </c>
      <c r="AO39" s="53">
        <f t="shared" si="33"/>
        <v>1851</v>
      </c>
      <c r="AP39" s="53">
        <f t="shared" si="17"/>
        <v>681</v>
      </c>
      <c r="AQ39" s="53">
        <f t="shared" si="17"/>
        <v>1576</v>
      </c>
      <c r="AR39" s="47">
        <v>-1128</v>
      </c>
      <c r="AS39" s="47">
        <v>-1128</v>
      </c>
      <c r="AT39" s="53">
        <f t="shared" si="18"/>
        <v>723</v>
      </c>
      <c r="AU39" s="53">
        <f t="shared" si="18"/>
        <v>723</v>
      </c>
      <c r="BA39" s="53"/>
    </row>
    <row r="40" spans="1:53" x14ac:dyDescent="0.25">
      <c r="A40" s="45" t="str">
        <f t="shared" si="23"/>
        <v>Pier4</v>
      </c>
      <c r="B40" s="45" t="str">
        <f t="shared" si="24"/>
        <v>Central Web</v>
      </c>
      <c r="C40" t="s">
        <v>27</v>
      </c>
      <c r="D40" s="53" t="str">
        <f t="shared" si="9"/>
        <v>Pier4Central WebT10</v>
      </c>
      <c r="E40" s="56">
        <f t="shared" si="10"/>
        <v>3021</v>
      </c>
      <c r="F40" s="56">
        <f t="shared" si="10"/>
        <v>2126</v>
      </c>
      <c r="G40" s="46">
        <f t="shared" si="11"/>
        <v>8250</v>
      </c>
      <c r="H40" s="53">
        <v>6000</v>
      </c>
      <c r="I40" s="54">
        <f t="shared" si="35"/>
        <v>4</v>
      </c>
      <c r="J40" s="54">
        <f t="shared" si="34"/>
        <v>4</v>
      </c>
      <c r="K40" s="46">
        <f t="shared" si="12"/>
        <v>26250</v>
      </c>
      <c r="L40" s="46">
        <f t="shared" si="13"/>
        <v>24000</v>
      </c>
      <c r="M40">
        <v>1</v>
      </c>
      <c r="N40" s="53">
        <v>1</v>
      </c>
      <c r="O40">
        <v>2</v>
      </c>
      <c r="P40" s="53">
        <v>2</v>
      </c>
      <c r="Q40">
        <v>-1236</v>
      </c>
      <c r="R40">
        <v>-1960</v>
      </c>
      <c r="S40">
        <v>-565</v>
      </c>
      <c r="T40">
        <v>-1075</v>
      </c>
      <c r="U40" s="47">
        <f t="shared" si="14"/>
        <v>2998</v>
      </c>
      <c r="V40" s="47">
        <f t="shared" si="14"/>
        <v>2981</v>
      </c>
      <c r="W40" s="53">
        <f t="shared" si="36"/>
        <v>1453021</v>
      </c>
      <c r="X40" s="71">
        <f t="shared" si="37"/>
        <v>11540.563965517242</v>
      </c>
      <c r="Y40" s="71">
        <f t="shared" si="38"/>
        <v>12211.563965517242</v>
      </c>
      <c r="Z40" s="47">
        <f t="shared" si="29"/>
        <v>13071.25172413793</v>
      </c>
      <c r="AA40" s="57">
        <f t="shared" si="30"/>
        <v>13956.25172413793</v>
      </c>
      <c r="AB40" s="56">
        <f t="shared" si="39"/>
        <v>26304.690517241379</v>
      </c>
      <c r="AC40" s="57">
        <f t="shared" si="40"/>
        <v>24050.002758620689</v>
      </c>
      <c r="AD40" s="47">
        <f t="shared" si="27"/>
        <v>2630.3755172413794</v>
      </c>
      <c r="AE40" s="67">
        <f t="shared" si="28"/>
        <v>3303.3755172413794</v>
      </c>
      <c r="AF40" s="47">
        <f t="shared" si="31"/>
        <v>4218.3755172413794</v>
      </c>
      <c r="AG40" s="47">
        <f t="shared" si="32"/>
        <v>3717.3755172413794</v>
      </c>
      <c r="AH40" s="53">
        <v>1879</v>
      </c>
      <c r="AI40" s="53">
        <v>1206</v>
      </c>
      <c r="AJ40">
        <v>291</v>
      </c>
      <c r="AK40">
        <v>792</v>
      </c>
      <c r="AL40" s="56">
        <v>1170</v>
      </c>
      <c r="AM40" s="56">
        <v>275</v>
      </c>
      <c r="AN40" s="53">
        <f t="shared" si="33"/>
        <v>1851</v>
      </c>
      <c r="AO40" s="53">
        <f t="shared" si="33"/>
        <v>1851</v>
      </c>
      <c r="AP40" s="53">
        <f t="shared" si="17"/>
        <v>3021</v>
      </c>
      <c r="AQ40" s="53">
        <f t="shared" si="17"/>
        <v>2126</v>
      </c>
      <c r="AR40" s="47">
        <v>1147</v>
      </c>
      <c r="AS40" s="47">
        <v>1130</v>
      </c>
      <c r="AT40" s="53">
        <f t="shared" si="18"/>
        <v>2998</v>
      </c>
      <c r="AU40" s="53">
        <f t="shared" si="18"/>
        <v>2981</v>
      </c>
      <c r="BA40" s="53"/>
    </row>
    <row r="41" spans="1:53" x14ac:dyDescent="0.25">
      <c r="A41" s="45" t="str">
        <f t="shared" si="23"/>
        <v>Pier4</v>
      </c>
      <c r="B41" s="45" t="str">
        <f t="shared" si="24"/>
        <v>Central Web</v>
      </c>
      <c r="C41" t="s">
        <v>28</v>
      </c>
      <c r="D41" s="53" t="str">
        <f t="shared" si="9"/>
        <v>Pier4Central WebT11</v>
      </c>
      <c r="E41" s="56">
        <f t="shared" si="10"/>
        <v>481</v>
      </c>
      <c r="F41" s="56">
        <f t="shared" si="10"/>
        <v>1576</v>
      </c>
      <c r="G41" s="46">
        <f t="shared" si="11"/>
        <v>8250</v>
      </c>
      <c r="H41" s="53">
        <v>6000</v>
      </c>
      <c r="I41" s="54">
        <f t="shared" si="35"/>
        <v>4</v>
      </c>
      <c r="J41" s="54">
        <f t="shared" si="34"/>
        <v>5</v>
      </c>
      <c r="K41" s="46">
        <f t="shared" si="12"/>
        <v>26250</v>
      </c>
      <c r="L41" s="46">
        <f t="shared" si="13"/>
        <v>28500</v>
      </c>
      <c r="M41">
        <v>1</v>
      </c>
      <c r="N41" s="53">
        <v>1</v>
      </c>
      <c r="O41">
        <v>2</v>
      </c>
      <c r="P41" s="53">
        <v>2</v>
      </c>
      <c r="Q41">
        <v>1330</v>
      </c>
      <c r="R41">
        <v>1328</v>
      </c>
      <c r="S41">
        <v>2215</v>
      </c>
      <c r="T41">
        <v>2213</v>
      </c>
      <c r="U41" s="47">
        <f t="shared" si="14"/>
        <v>521</v>
      </c>
      <c r="V41" s="47">
        <f t="shared" si="14"/>
        <v>521</v>
      </c>
      <c r="W41" s="53">
        <f t="shared" si="36"/>
        <v>1450481</v>
      </c>
      <c r="X41" s="71">
        <f t="shared" si="37"/>
        <v>14084.229482758621</v>
      </c>
      <c r="Y41" s="71">
        <f t="shared" si="38"/>
        <v>14969.229482758621</v>
      </c>
      <c r="Z41" s="47">
        <f t="shared" si="29"/>
        <v>16332.975862068966</v>
      </c>
      <c r="AA41" s="57">
        <f t="shared" si="30"/>
        <v>17217.975862068968</v>
      </c>
      <c r="AB41" s="56">
        <f t="shared" si="39"/>
        <v>26258.707758620691</v>
      </c>
      <c r="AC41" s="57">
        <f t="shared" si="40"/>
        <v>28509.454137931036</v>
      </c>
      <c r="AD41" s="47">
        <f t="shared" si="27"/>
        <v>3004.4927586206895</v>
      </c>
      <c r="AE41" s="67">
        <f t="shared" si="28"/>
        <v>3605.4927586206895</v>
      </c>
      <c r="AF41" s="47">
        <f t="shared" si="31"/>
        <v>3293.4927586206895</v>
      </c>
      <c r="AG41" s="47">
        <f t="shared" si="32"/>
        <v>2623.4927586206895</v>
      </c>
      <c r="AH41" s="53">
        <v>1497</v>
      </c>
      <c r="AI41" s="53">
        <v>896</v>
      </c>
      <c r="AJ41">
        <v>1208</v>
      </c>
      <c r="AK41">
        <v>1878</v>
      </c>
      <c r="AL41" s="56">
        <v>-1370</v>
      </c>
      <c r="AM41" s="56">
        <v>-275</v>
      </c>
      <c r="AN41" s="53">
        <f t="shared" si="33"/>
        <v>1851</v>
      </c>
      <c r="AO41" s="53">
        <f t="shared" si="33"/>
        <v>1851</v>
      </c>
      <c r="AP41" s="53">
        <f t="shared" si="17"/>
        <v>481</v>
      </c>
      <c r="AQ41" s="53">
        <f t="shared" si="17"/>
        <v>1576</v>
      </c>
      <c r="AR41" s="47">
        <v>-1330</v>
      </c>
      <c r="AS41" s="47">
        <v>-1330</v>
      </c>
      <c r="AT41" s="53">
        <f t="shared" si="18"/>
        <v>521</v>
      </c>
      <c r="AU41" s="53">
        <f t="shared" si="18"/>
        <v>521</v>
      </c>
      <c r="BA41" s="53"/>
    </row>
    <row r="42" spans="1:53" s="65" customFormat="1" x14ac:dyDescent="0.25">
      <c r="A42" s="65" t="str">
        <f t="shared" si="23"/>
        <v>Pier4</v>
      </c>
      <c r="B42" s="65" t="str">
        <f t="shared" si="24"/>
        <v>Central Web</v>
      </c>
      <c r="C42" s="65" t="s">
        <v>29</v>
      </c>
      <c r="D42" s="65" t="str">
        <f t="shared" si="9"/>
        <v>Pier4Central WebT12</v>
      </c>
      <c r="E42" s="56">
        <f t="shared" si="10"/>
        <v>3221</v>
      </c>
      <c r="F42" s="56">
        <f t="shared" si="10"/>
        <v>2126</v>
      </c>
      <c r="G42" s="65">
        <f t="shared" si="11"/>
        <v>8250</v>
      </c>
      <c r="H42" s="65">
        <v>6000</v>
      </c>
      <c r="I42" s="66">
        <f t="shared" si="35"/>
        <v>5</v>
      </c>
      <c r="J42" s="66">
        <f t="shared" si="34"/>
        <v>5</v>
      </c>
      <c r="K42" s="65">
        <f t="shared" si="12"/>
        <v>30750</v>
      </c>
      <c r="L42" s="65">
        <f t="shared" si="13"/>
        <v>28500</v>
      </c>
      <c r="M42" s="65">
        <v>1</v>
      </c>
      <c r="N42" s="65">
        <v>1</v>
      </c>
      <c r="O42" s="65">
        <v>2</v>
      </c>
      <c r="P42" s="65">
        <v>2</v>
      </c>
      <c r="Q42" s="65">
        <v>325</v>
      </c>
      <c r="R42" s="65">
        <v>305</v>
      </c>
      <c r="S42" s="65">
        <v>1016</v>
      </c>
      <c r="T42" s="65">
        <v>1205</v>
      </c>
      <c r="U42" s="47">
        <f t="shared" si="14"/>
        <v>3196</v>
      </c>
      <c r="V42" s="47">
        <f t="shared" si="14"/>
        <v>3180</v>
      </c>
      <c r="W42" s="65">
        <f t="shared" si="36"/>
        <v>1453221</v>
      </c>
      <c r="X42" s="71">
        <f t="shared" si="37"/>
        <v>13103.322586206896</v>
      </c>
      <c r="Y42" s="71">
        <f t="shared" si="38"/>
        <v>13794.322586206896</v>
      </c>
      <c r="Z42" s="47">
        <f t="shared" si="29"/>
        <v>15338.320689655171</v>
      </c>
      <c r="AA42" s="57">
        <f t="shared" si="30"/>
        <v>16238.320689655171</v>
      </c>
      <c r="AB42" s="56">
        <f t="shared" si="39"/>
        <v>30818.3074137931</v>
      </c>
      <c r="AC42" s="57">
        <f t="shared" si="40"/>
        <v>28563.309310344823</v>
      </c>
      <c r="AD42" s="47">
        <f t="shared" si="27"/>
        <v>2630.9962068965515</v>
      </c>
      <c r="AE42" s="67">
        <f t="shared" si="28"/>
        <v>3303.9962068965515</v>
      </c>
      <c r="AF42" s="47">
        <f t="shared" si="31"/>
        <v>4218.9962068965515</v>
      </c>
      <c r="AG42" s="47">
        <f t="shared" si="32"/>
        <v>3717.9962068965515</v>
      </c>
      <c r="AH42" s="65">
        <v>1879</v>
      </c>
      <c r="AI42" s="65">
        <v>1206</v>
      </c>
      <c r="AJ42" s="65">
        <v>291</v>
      </c>
      <c r="AK42" s="65">
        <v>792</v>
      </c>
      <c r="AL42" s="56">
        <v>1370</v>
      </c>
      <c r="AM42" s="56">
        <v>275</v>
      </c>
      <c r="AN42" s="53">
        <f t="shared" si="33"/>
        <v>1851</v>
      </c>
      <c r="AO42" s="53">
        <f t="shared" si="33"/>
        <v>1851</v>
      </c>
      <c r="AP42" s="53">
        <f t="shared" si="17"/>
        <v>3221</v>
      </c>
      <c r="AQ42" s="53">
        <f t="shared" si="17"/>
        <v>2126</v>
      </c>
      <c r="AR42" s="47">
        <v>1345</v>
      </c>
      <c r="AS42" s="47">
        <v>1329</v>
      </c>
      <c r="AT42" s="53">
        <f t="shared" si="18"/>
        <v>3196</v>
      </c>
      <c r="AU42" s="53">
        <f t="shared" si="18"/>
        <v>3180</v>
      </c>
    </row>
    <row r="43" spans="1:53" s="65" customFormat="1" x14ac:dyDescent="0.25">
      <c r="A43" s="65" t="str">
        <f t="shared" si="23"/>
        <v>Pier4</v>
      </c>
      <c r="B43" s="65" t="str">
        <f t="shared" si="24"/>
        <v>Central Web</v>
      </c>
      <c r="C43" s="65" t="s">
        <v>30</v>
      </c>
      <c r="D43" s="65" t="str">
        <f t="shared" si="9"/>
        <v>Pier4Central WebT13</v>
      </c>
      <c r="E43" s="56">
        <f t="shared" si="10"/>
        <v>281</v>
      </c>
      <c r="F43" s="56">
        <f t="shared" si="10"/>
        <v>1576</v>
      </c>
      <c r="G43" s="65">
        <f t="shared" si="11"/>
        <v>8250</v>
      </c>
      <c r="H43" s="65">
        <v>6000</v>
      </c>
      <c r="I43" s="66">
        <f t="shared" si="35"/>
        <v>5</v>
      </c>
      <c r="J43" s="66">
        <f t="shared" si="34"/>
        <v>6</v>
      </c>
      <c r="K43" s="65">
        <f t="shared" si="12"/>
        <v>30750</v>
      </c>
      <c r="L43" s="65">
        <f t="shared" si="13"/>
        <v>33000</v>
      </c>
      <c r="M43" s="65">
        <v>2</v>
      </c>
      <c r="N43" s="65">
        <v>2</v>
      </c>
      <c r="O43" s="65">
        <v>3</v>
      </c>
      <c r="P43" s="65">
        <v>3</v>
      </c>
      <c r="Q43" s="65">
        <v>-924</v>
      </c>
      <c r="R43" s="65">
        <v>-926</v>
      </c>
      <c r="S43" s="65">
        <v>-54</v>
      </c>
      <c r="T43" s="65">
        <v>-57</v>
      </c>
      <c r="U43" s="47">
        <f t="shared" si="14"/>
        <v>320</v>
      </c>
      <c r="V43" s="47">
        <f t="shared" si="14"/>
        <v>320</v>
      </c>
      <c r="W43" s="65">
        <f t="shared" si="36"/>
        <v>1450281</v>
      </c>
      <c r="X43" s="71">
        <f t="shared" si="37"/>
        <v>16329.342931034484</v>
      </c>
      <c r="Y43" s="71">
        <f t="shared" si="38"/>
        <v>17199.342931034484</v>
      </c>
      <c r="Z43" s="47">
        <f t="shared" si="29"/>
        <v>18577.778965517242</v>
      </c>
      <c r="AA43" s="57">
        <f t="shared" si="30"/>
        <v>19446.778965517242</v>
      </c>
      <c r="AB43" s="56">
        <f t="shared" si="39"/>
        <v>30755.959137931037</v>
      </c>
      <c r="AC43" s="57">
        <f t="shared" si="40"/>
        <v>33006.395172413795</v>
      </c>
      <c r="AD43" s="47">
        <f t="shared" si="27"/>
        <v>3003.8720689655174</v>
      </c>
      <c r="AE43" s="67">
        <f t="shared" si="28"/>
        <v>3604.8720689655174</v>
      </c>
      <c r="AF43" s="47">
        <f t="shared" si="31"/>
        <v>3292.8720689655174</v>
      </c>
      <c r="AG43" s="47">
        <f t="shared" si="32"/>
        <v>2622.8720689655174</v>
      </c>
      <c r="AH43" s="65">
        <v>1497</v>
      </c>
      <c r="AI43" s="65">
        <v>896</v>
      </c>
      <c r="AJ43" s="65">
        <v>1208</v>
      </c>
      <c r="AK43" s="65">
        <v>1878</v>
      </c>
      <c r="AL43" s="56">
        <v>-1570</v>
      </c>
      <c r="AM43" s="56">
        <v>-275</v>
      </c>
      <c r="AN43" s="53">
        <f t="shared" si="33"/>
        <v>1851</v>
      </c>
      <c r="AO43" s="53">
        <f t="shared" si="33"/>
        <v>1851</v>
      </c>
      <c r="AP43" s="53">
        <f t="shared" si="17"/>
        <v>281</v>
      </c>
      <c r="AQ43" s="53">
        <f t="shared" si="17"/>
        <v>1576</v>
      </c>
      <c r="AR43" s="47">
        <v>-1531</v>
      </c>
      <c r="AS43" s="47">
        <v>-1531</v>
      </c>
      <c r="AT43" s="53">
        <f t="shared" si="18"/>
        <v>320</v>
      </c>
      <c r="AU43" s="53">
        <f t="shared" si="18"/>
        <v>320</v>
      </c>
    </row>
    <row r="44" spans="1:53" s="65" customFormat="1" x14ac:dyDescent="0.25">
      <c r="A44" s="65" t="str">
        <f t="shared" si="23"/>
        <v>Pier4</v>
      </c>
      <c r="B44" s="65" t="str">
        <f t="shared" si="24"/>
        <v>Central Web</v>
      </c>
      <c r="C44" s="65" t="s">
        <v>31</v>
      </c>
      <c r="D44" s="65" t="str">
        <f t="shared" si="9"/>
        <v>Pier4Central WebT14</v>
      </c>
      <c r="E44" s="56">
        <f t="shared" si="10"/>
        <v>3421</v>
      </c>
      <c r="F44" s="56">
        <f t="shared" si="10"/>
        <v>2126</v>
      </c>
      <c r="G44" s="65">
        <f t="shared" si="11"/>
        <v>8250</v>
      </c>
      <c r="H44" s="65">
        <v>6000</v>
      </c>
      <c r="I44" s="66">
        <f t="shared" si="35"/>
        <v>6</v>
      </c>
      <c r="J44" s="66">
        <f t="shared" si="34"/>
        <v>6</v>
      </c>
      <c r="K44" s="65">
        <f t="shared" si="12"/>
        <v>35250</v>
      </c>
      <c r="L44" s="65">
        <f t="shared" si="13"/>
        <v>33000</v>
      </c>
      <c r="M44" s="65">
        <v>1</v>
      </c>
      <c r="N44" s="65">
        <v>1</v>
      </c>
      <c r="O44" s="65">
        <v>3</v>
      </c>
      <c r="P44" s="65">
        <v>3</v>
      </c>
      <c r="Q44" s="65">
        <v>1971</v>
      </c>
      <c r="R44" s="65">
        <v>-1902</v>
      </c>
      <c r="S44" s="65">
        <v>2682</v>
      </c>
      <c r="T44" s="65">
        <v>-986</v>
      </c>
      <c r="U44" s="47">
        <f t="shared" si="14"/>
        <v>3395</v>
      </c>
      <c r="V44" s="47">
        <f t="shared" si="14"/>
        <v>3378</v>
      </c>
      <c r="W44" s="65">
        <f t="shared" si="36"/>
        <v>1453421</v>
      </c>
      <c r="X44" s="71">
        <f t="shared" si="37"/>
        <v>14751.081206896552</v>
      </c>
      <c r="Y44" s="71">
        <f t="shared" si="38"/>
        <v>15462.081206896552</v>
      </c>
      <c r="Z44" s="47">
        <f t="shared" si="29"/>
        <v>17644.006551724138</v>
      </c>
      <c r="AA44" s="57">
        <f t="shared" si="30"/>
        <v>18560.006551724138</v>
      </c>
      <c r="AB44" s="56">
        <f t="shared" si="39"/>
        <v>35333.165689655172</v>
      </c>
      <c r="AC44" s="57">
        <f t="shared" si="40"/>
        <v>33077.857241379308</v>
      </c>
      <c r="AD44" s="47">
        <f t="shared" si="27"/>
        <v>2631.6168965517245</v>
      </c>
      <c r="AE44" s="67">
        <f t="shared" si="28"/>
        <v>3304.6168965517245</v>
      </c>
      <c r="AF44" s="47">
        <f t="shared" si="31"/>
        <v>4219.6168965517245</v>
      </c>
      <c r="AG44" s="47">
        <f t="shared" si="32"/>
        <v>3718.6168965517245</v>
      </c>
      <c r="AH44" s="65">
        <v>1879</v>
      </c>
      <c r="AI44" s="65">
        <v>1206</v>
      </c>
      <c r="AJ44" s="65">
        <v>291</v>
      </c>
      <c r="AK44" s="65">
        <v>792</v>
      </c>
      <c r="AL44" s="56">
        <v>1570</v>
      </c>
      <c r="AM44" s="56">
        <v>275</v>
      </c>
      <c r="AN44" s="53">
        <f t="shared" si="33"/>
        <v>1851</v>
      </c>
      <c r="AO44" s="53">
        <f t="shared" si="33"/>
        <v>1851</v>
      </c>
      <c r="AP44" s="53">
        <f t="shared" si="17"/>
        <v>3421</v>
      </c>
      <c r="AQ44" s="53">
        <f t="shared" si="17"/>
        <v>2126</v>
      </c>
      <c r="AR44" s="47">
        <v>1544</v>
      </c>
      <c r="AS44" s="47">
        <v>1527</v>
      </c>
      <c r="AT44" s="53">
        <f t="shared" si="18"/>
        <v>3395</v>
      </c>
      <c r="AU44" s="53">
        <f t="shared" si="18"/>
        <v>3378</v>
      </c>
    </row>
    <row r="45" spans="1:53" x14ac:dyDescent="0.25">
      <c r="A45" s="45" t="str">
        <f t="shared" si="23"/>
        <v>Pier4</v>
      </c>
      <c r="B45" s="45" t="str">
        <f t="shared" si="24"/>
        <v>Central Web</v>
      </c>
      <c r="C45" t="s">
        <v>32</v>
      </c>
      <c r="D45" s="53" t="str">
        <f t="shared" si="9"/>
        <v>Pier4Central WebT15</v>
      </c>
      <c r="E45" s="56">
        <f t="shared" si="10"/>
        <v>81</v>
      </c>
      <c r="F45" s="56">
        <f t="shared" si="10"/>
        <v>1576</v>
      </c>
      <c r="G45" s="46">
        <f t="shared" si="11"/>
        <v>8250</v>
      </c>
      <c r="H45" s="53">
        <v>6000</v>
      </c>
      <c r="I45" s="54">
        <f t="shared" si="35"/>
        <v>6</v>
      </c>
      <c r="J45" s="54">
        <f t="shared" si="34"/>
        <v>7</v>
      </c>
      <c r="K45" s="46">
        <f t="shared" si="12"/>
        <v>35250</v>
      </c>
      <c r="L45" s="46">
        <f t="shared" si="13"/>
        <v>37500</v>
      </c>
      <c r="M45">
        <v>2</v>
      </c>
      <c r="N45" s="53">
        <v>2</v>
      </c>
      <c r="O45">
        <v>3</v>
      </c>
      <c r="P45" s="53">
        <v>3</v>
      </c>
      <c r="Q45">
        <v>1282</v>
      </c>
      <c r="R45">
        <v>1278</v>
      </c>
      <c r="S45">
        <v>2135</v>
      </c>
      <c r="T45">
        <v>2132</v>
      </c>
      <c r="U45" s="47">
        <f t="shared" si="14"/>
        <v>119</v>
      </c>
      <c r="V45" s="47">
        <f t="shared" si="14"/>
        <v>119</v>
      </c>
      <c r="W45" s="53">
        <f t="shared" si="36"/>
        <v>1450081</v>
      </c>
      <c r="X45" s="71">
        <f t="shared" si="37"/>
        <v>18532.963620689654</v>
      </c>
      <c r="Y45" s="71">
        <f t="shared" si="38"/>
        <v>19385.963620689654</v>
      </c>
      <c r="Z45" s="47">
        <f t="shared" si="29"/>
        <v>20779.089310344825</v>
      </c>
      <c r="AA45" s="57">
        <f t="shared" si="30"/>
        <v>21633.089310344825</v>
      </c>
      <c r="AB45" s="56">
        <f t="shared" si="39"/>
        <v>35251.969137931032</v>
      </c>
      <c r="AC45" s="57">
        <f t="shared" si="40"/>
        <v>37502.094827586203</v>
      </c>
      <c r="AD45" s="47">
        <f t="shared" si="27"/>
        <v>3003.2513793103444</v>
      </c>
      <c r="AE45" s="67">
        <f t="shared" si="28"/>
        <v>3604.2513793103444</v>
      </c>
      <c r="AF45" s="47">
        <f t="shared" si="31"/>
        <v>3292.2513793103444</v>
      </c>
      <c r="AG45" s="47">
        <f t="shared" si="32"/>
        <v>2622.2513793103444</v>
      </c>
      <c r="AH45" s="53">
        <v>1497</v>
      </c>
      <c r="AI45" s="53">
        <v>896</v>
      </c>
      <c r="AJ45">
        <v>1208</v>
      </c>
      <c r="AK45">
        <v>1878</v>
      </c>
      <c r="AL45" s="56">
        <v>-1770</v>
      </c>
      <c r="AM45" s="56">
        <v>-275</v>
      </c>
      <c r="AN45" s="53">
        <f t="shared" si="33"/>
        <v>1851</v>
      </c>
      <c r="AO45" s="53">
        <f t="shared" si="33"/>
        <v>1851</v>
      </c>
      <c r="AP45" s="53">
        <f t="shared" si="17"/>
        <v>81</v>
      </c>
      <c r="AQ45" s="53">
        <f t="shared" si="17"/>
        <v>1576</v>
      </c>
      <c r="AR45" s="47">
        <v>-1732</v>
      </c>
      <c r="AS45" s="47">
        <v>-1732</v>
      </c>
      <c r="AT45" s="53">
        <f t="shared" si="18"/>
        <v>119</v>
      </c>
      <c r="AU45" s="53">
        <f t="shared" si="18"/>
        <v>119</v>
      </c>
      <c r="BA45" s="53"/>
    </row>
    <row r="46" spans="1:53" x14ac:dyDescent="0.25">
      <c r="A46" s="45" t="str">
        <f t="shared" si="23"/>
        <v>Pier4</v>
      </c>
      <c r="B46" s="45" t="str">
        <f t="shared" si="24"/>
        <v>Central Web</v>
      </c>
      <c r="C46" t="s">
        <v>33</v>
      </c>
      <c r="D46" s="53" t="str">
        <f t="shared" si="9"/>
        <v>Pier4Central WebT16</v>
      </c>
      <c r="E46" s="56">
        <f t="shared" si="10"/>
        <v>3621</v>
      </c>
      <c r="F46" s="56">
        <f t="shared" si="10"/>
        <v>2126</v>
      </c>
      <c r="G46" s="46">
        <f t="shared" si="11"/>
        <v>8250</v>
      </c>
      <c r="H46" s="53">
        <v>6000</v>
      </c>
      <c r="I46" s="54">
        <f t="shared" si="35"/>
        <v>7</v>
      </c>
      <c r="J46" s="54">
        <f t="shared" si="34"/>
        <v>7</v>
      </c>
      <c r="K46" s="46">
        <f t="shared" si="12"/>
        <v>39750</v>
      </c>
      <c r="L46" s="46">
        <f t="shared" si="13"/>
        <v>37500</v>
      </c>
      <c r="M46">
        <v>2</v>
      </c>
      <c r="N46" s="53">
        <v>2</v>
      </c>
      <c r="O46">
        <v>3</v>
      </c>
      <c r="P46" s="53">
        <v>3</v>
      </c>
      <c r="Q46">
        <v>-816</v>
      </c>
      <c r="R46">
        <v>438</v>
      </c>
      <c r="S46">
        <v>-86</v>
      </c>
      <c r="T46">
        <v>1369</v>
      </c>
      <c r="U46" s="47">
        <f t="shared" si="14"/>
        <v>3593</v>
      </c>
      <c r="V46" s="47">
        <f t="shared" si="14"/>
        <v>3577</v>
      </c>
      <c r="W46" s="53">
        <f t="shared" si="36"/>
        <v>1453621</v>
      </c>
      <c r="X46" s="71">
        <f t="shared" si="37"/>
        <v>16477.077413793104</v>
      </c>
      <c r="Y46" s="71">
        <f t="shared" si="38"/>
        <v>17207.077413793104</v>
      </c>
      <c r="Z46" s="47">
        <f t="shared" si="29"/>
        <v>19986.696206896551</v>
      </c>
      <c r="AA46" s="57">
        <f t="shared" si="30"/>
        <v>20917.696206896551</v>
      </c>
      <c r="AB46" s="56">
        <f t="shared" si="39"/>
        <v>39849.265344827581</v>
      </c>
      <c r="AC46" s="57">
        <f t="shared" si="40"/>
        <v>37593.646551724138</v>
      </c>
      <c r="AD46" s="47">
        <f t="shared" si="27"/>
        <v>2632.2375862068966</v>
      </c>
      <c r="AE46" s="67">
        <f t="shared" si="28"/>
        <v>3305.2375862068966</v>
      </c>
      <c r="AF46" s="47">
        <f t="shared" si="31"/>
        <v>4220.2375862068966</v>
      </c>
      <c r="AG46" s="47">
        <f t="shared" si="32"/>
        <v>3719.2375862068966</v>
      </c>
      <c r="AH46" s="53">
        <v>1879</v>
      </c>
      <c r="AI46" s="53">
        <v>1206</v>
      </c>
      <c r="AJ46">
        <v>291</v>
      </c>
      <c r="AK46">
        <v>792</v>
      </c>
      <c r="AL46" s="56">
        <v>1770</v>
      </c>
      <c r="AM46" s="56">
        <v>275</v>
      </c>
      <c r="AN46" s="53">
        <f t="shared" si="33"/>
        <v>1851</v>
      </c>
      <c r="AO46" s="53">
        <f t="shared" si="33"/>
        <v>1851</v>
      </c>
      <c r="AP46" s="53">
        <f t="shared" si="17"/>
        <v>3621</v>
      </c>
      <c r="AQ46" s="53">
        <f t="shared" si="17"/>
        <v>2126</v>
      </c>
      <c r="AR46" s="47">
        <v>1742</v>
      </c>
      <c r="AS46" s="47">
        <v>1726</v>
      </c>
      <c r="AT46" s="53">
        <f t="shared" si="18"/>
        <v>3593</v>
      </c>
      <c r="AU46" s="53">
        <f t="shared" si="18"/>
        <v>3577</v>
      </c>
      <c r="BA46" s="53"/>
    </row>
    <row r="47" spans="1:53" x14ac:dyDescent="0.25">
      <c r="A47" s="45" t="str">
        <f t="shared" si="23"/>
        <v>Pier4</v>
      </c>
      <c r="B47" s="45" t="str">
        <f t="shared" si="24"/>
        <v>Central Web</v>
      </c>
      <c r="C47" t="s">
        <v>34</v>
      </c>
      <c r="D47" s="53" t="str">
        <f t="shared" si="9"/>
        <v>Pier4Central WebT17</v>
      </c>
      <c r="E47" s="56">
        <f t="shared" si="10"/>
        <v>-119</v>
      </c>
      <c r="F47" s="56">
        <f t="shared" si="10"/>
        <v>1576</v>
      </c>
      <c r="G47" s="46">
        <f t="shared" si="11"/>
        <v>8250</v>
      </c>
      <c r="H47" s="53">
        <v>6000</v>
      </c>
      <c r="I47" s="54">
        <f t="shared" si="35"/>
        <v>7</v>
      </c>
      <c r="J47" s="54">
        <f t="shared" si="34"/>
        <v>8</v>
      </c>
      <c r="K47" s="46">
        <f t="shared" si="12"/>
        <v>39750</v>
      </c>
      <c r="L47" s="46">
        <f t="shared" si="13"/>
        <v>42000</v>
      </c>
      <c r="M47">
        <v>3</v>
      </c>
      <c r="N47" s="53">
        <v>3</v>
      </c>
      <c r="O47">
        <v>4</v>
      </c>
      <c r="P47" s="53">
        <v>4</v>
      </c>
      <c r="Q47">
        <v>-1057</v>
      </c>
      <c r="R47">
        <v>-1061</v>
      </c>
      <c r="S47">
        <v>-219</v>
      </c>
      <c r="T47">
        <v>-223</v>
      </c>
      <c r="U47" s="47">
        <f t="shared" si="14"/>
        <v>-82</v>
      </c>
      <c r="V47" s="47">
        <f t="shared" si="14"/>
        <v>-82</v>
      </c>
      <c r="W47" s="53">
        <f t="shared" si="36"/>
        <v>1449881</v>
      </c>
      <c r="X47" s="71">
        <f t="shared" si="37"/>
        <v>20691.215</v>
      </c>
      <c r="Y47" s="71">
        <f t="shared" si="38"/>
        <v>21529.215</v>
      </c>
      <c r="Z47" s="47">
        <f t="shared" si="29"/>
        <v>22937.030344827588</v>
      </c>
      <c r="AA47" s="57">
        <f t="shared" si="30"/>
        <v>23775.030344827588</v>
      </c>
      <c r="AB47" s="56">
        <f t="shared" si="39"/>
        <v>39746.737758620693</v>
      </c>
      <c r="AC47" s="57">
        <f t="shared" si="40"/>
        <v>41996.553103448277</v>
      </c>
      <c r="AD47" s="47">
        <f t="shared" si="27"/>
        <v>3002.6306896551723</v>
      </c>
      <c r="AE47" s="67">
        <f t="shared" si="28"/>
        <v>3603.6306896551723</v>
      </c>
      <c r="AF47" s="47">
        <f t="shared" si="31"/>
        <v>3291.6306896551723</v>
      </c>
      <c r="AG47" s="47">
        <f t="shared" si="32"/>
        <v>2621.6306896551723</v>
      </c>
      <c r="AH47" s="53">
        <v>1497</v>
      </c>
      <c r="AI47" s="53">
        <v>896</v>
      </c>
      <c r="AJ47">
        <v>1208</v>
      </c>
      <c r="AK47">
        <v>1878</v>
      </c>
      <c r="AL47" s="56">
        <v>-1970</v>
      </c>
      <c r="AM47" s="56">
        <v>-275</v>
      </c>
      <c r="AN47" s="53">
        <f t="shared" si="33"/>
        <v>1851</v>
      </c>
      <c r="AO47" s="53">
        <f t="shared" si="33"/>
        <v>1851</v>
      </c>
      <c r="AP47" s="53">
        <f t="shared" si="17"/>
        <v>-119</v>
      </c>
      <c r="AQ47" s="53">
        <f t="shared" si="17"/>
        <v>1576</v>
      </c>
      <c r="AR47" s="47">
        <v>-1933</v>
      </c>
      <c r="AS47" s="47">
        <v>-1933</v>
      </c>
      <c r="AT47" s="53">
        <f t="shared" si="18"/>
        <v>-82</v>
      </c>
      <c r="AU47" s="53">
        <f t="shared" si="18"/>
        <v>-82</v>
      </c>
      <c r="BA47" s="53"/>
    </row>
    <row r="48" spans="1:53" x14ac:dyDescent="0.25">
      <c r="A48" s="45" t="str">
        <f t="shared" si="23"/>
        <v>Pier4</v>
      </c>
      <c r="B48" s="45" t="str">
        <f t="shared" si="24"/>
        <v>Central Web</v>
      </c>
      <c r="C48" t="s">
        <v>35</v>
      </c>
      <c r="D48" s="53" t="str">
        <f t="shared" si="9"/>
        <v>Pier4Central WebT18</v>
      </c>
      <c r="E48" s="56">
        <f t="shared" si="10"/>
        <v>3821</v>
      </c>
      <c r="F48" s="56">
        <f t="shared" si="10"/>
        <v>2126</v>
      </c>
      <c r="G48" s="46">
        <f t="shared" si="11"/>
        <v>8250</v>
      </c>
      <c r="H48" s="53">
        <v>6000</v>
      </c>
      <c r="I48" s="54">
        <f t="shared" si="35"/>
        <v>8</v>
      </c>
      <c r="J48" s="54">
        <f t="shared" si="34"/>
        <v>8</v>
      </c>
      <c r="K48" s="46">
        <f t="shared" si="12"/>
        <v>44250</v>
      </c>
      <c r="L48" s="46">
        <f t="shared" si="13"/>
        <v>42000</v>
      </c>
      <c r="M48">
        <v>2</v>
      </c>
      <c r="N48" s="53">
        <v>2</v>
      </c>
      <c r="O48">
        <v>4</v>
      </c>
      <c r="P48" s="53">
        <v>4</v>
      </c>
      <c r="Q48">
        <v>980</v>
      </c>
      <c r="R48">
        <v>-1698</v>
      </c>
      <c r="S48">
        <v>1729</v>
      </c>
      <c r="T48">
        <v>-752</v>
      </c>
      <c r="U48" s="47">
        <f t="shared" si="14"/>
        <v>3784</v>
      </c>
      <c r="V48" s="47">
        <f t="shared" si="14"/>
        <v>3775</v>
      </c>
      <c r="W48" s="53">
        <f t="shared" si="36"/>
        <v>1453821</v>
      </c>
      <c r="X48" s="71">
        <f t="shared" si="37"/>
        <v>18275.456724137934</v>
      </c>
      <c r="Y48" s="71">
        <f t="shared" si="38"/>
        <v>19024.456724137934</v>
      </c>
      <c r="Z48" s="47">
        <f t="shared" si="29"/>
        <v>22365.244137931037</v>
      </c>
      <c r="AA48" s="57">
        <f t="shared" si="30"/>
        <v>23311.244137931037</v>
      </c>
      <c r="AB48" s="56">
        <f t="shared" si="39"/>
        <v>44366.606379310346</v>
      </c>
      <c r="AC48" s="57">
        <f t="shared" si="40"/>
        <v>42110.677241379315</v>
      </c>
      <c r="AD48" s="47">
        <f t="shared" si="27"/>
        <v>2632.8582758620687</v>
      </c>
      <c r="AE48" s="67">
        <f t="shared" si="28"/>
        <v>3305.8582758620687</v>
      </c>
      <c r="AF48" s="47">
        <f t="shared" si="31"/>
        <v>4220.8582758620687</v>
      </c>
      <c r="AG48" s="47">
        <f t="shared" si="32"/>
        <v>3719.8582758620687</v>
      </c>
      <c r="AH48" s="53">
        <v>1879</v>
      </c>
      <c r="AI48" s="53">
        <v>1206</v>
      </c>
      <c r="AJ48">
        <v>291</v>
      </c>
      <c r="AK48">
        <v>792</v>
      </c>
      <c r="AL48" s="56">
        <v>1970</v>
      </c>
      <c r="AM48" s="56">
        <v>275</v>
      </c>
      <c r="AN48" s="53">
        <f t="shared" si="33"/>
        <v>1851</v>
      </c>
      <c r="AO48" s="53">
        <f t="shared" si="33"/>
        <v>1851</v>
      </c>
      <c r="AP48" s="53">
        <f t="shared" si="17"/>
        <v>3821</v>
      </c>
      <c r="AQ48" s="53">
        <f t="shared" si="17"/>
        <v>2126</v>
      </c>
      <c r="AR48" s="47">
        <v>1933</v>
      </c>
      <c r="AS48" s="47">
        <v>1924</v>
      </c>
      <c r="AT48" s="53">
        <f t="shared" si="18"/>
        <v>3784</v>
      </c>
      <c r="AU48" s="53">
        <f t="shared" si="18"/>
        <v>3775</v>
      </c>
      <c r="BA48" s="53"/>
    </row>
    <row r="49" spans="1:53" x14ac:dyDescent="0.25">
      <c r="A49" s="45" t="str">
        <f t="shared" si="23"/>
        <v>Pier4</v>
      </c>
      <c r="B49" s="45" t="str">
        <f t="shared" si="24"/>
        <v>Central Web</v>
      </c>
      <c r="C49" t="s">
        <v>36</v>
      </c>
      <c r="D49" s="53" t="str">
        <f t="shared" si="9"/>
        <v>Pier4Central WebT19</v>
      </c>
      <c r="E49" s="56">
        <f t="shared" si="10"/>
        <v>-319</v>
      </c>
      <c r="F49" s="56">
        <f t="shared" si="10"/>
        <v>1576</v>
      </c>
      <c r="G49" s="46">
        <f t="shared" si="11"/>
        <v>8250</v>
      </c>
      <c r="H49" s="53">
        <v>6000</v>
      </c>
      <c r="I49" s="54">
        <f t="shared" si="35"/>
        <v>8</v>
      </c>
      <c r="J49" s="54">
        <f t="shared" si="34"/>
        <v>9</v>
      </c>
      <c r="K49" s="46">
        <f t="shared" si="12"/>
        <v>44250</v>
      </c>
      <c r="L49" s="46">
        <f t="shared" si="13"/>
        <v>46500</v>
      </c>
      <c r="M49">
        <v>3</v>
      </c>
      <c r="N49" s="53">
        <v>3</v>
      </c>
      <c r="O49">
        <v>4</v>
      </c>
      <c r="P49" s="53">
        <v>4</v>
      </c>
      <c r="Q49">
        <v>1058</v>
      </c>
      <c r="R49">
        <v>1053</v>
      </c>
      <c r="S49">
        <v>1879</v>
      </c>
      <c r="T49">
        <v>1875</v>
      </c>
      <c r="U49" s="47">
        <f t="shared" si="14"/>
        <v>-283</v>
      </c>
      <c r="V49" s="47">
        <f t="shared" si="14"/>
        <v>-283</v>
      </c>
      <c r="W49" s="53">
        <f t="shared" si="36"/>
        <v>1449681</v>
      </c>
      <c r="X49" s="71">
        <f t="shared" si="37"/>
        <v>22803.215</v>
      </c>
      <c r="Y49" s="71">
        <f t="shared" si="38"/>
        <v>23624.215</v>
      </c>
      <c r="Z49" s="47">
        <f t="shared" si="29"/>
        <v>25047.72</v>
      </c>
      <c r="AA49" s="57">
        <f t="shared" si="30"/>
        <v>25869.72</v>
      </c>
      <c r="AB49" s="56">
        <f t="shared" si="39"/>
        <v>44240.264999999999</v>
      </c>
      <c r="AC49" s="57">
        <f t="shared" si="40"/>
        <v>46489.77</v>
      </c>
      <c r="AD49" s="47">
        <f t="shared" si="27"/>
        <v>3002.01</v>
      </c>
      <c r="AE49" s="67">
        <f t="shared" si="28"/>
        <v>3603.01</v>
      </c>
      <c r="AF49" s="47">
        <f t="shared" si="31"/>
        <v>3291.01</v>
      </c>
      <c r="AG49" s="47">
        <f t="shared" si="32"/>
        <v>2621.0100000000002</v>
      </c>
      <c r="AH49" s="53">
        <v>1497</v>
      </c>
      <c r="AI49" s="53">
        <v>896</v>
      </c>
      <c r="AJ49">
        <v>1208</v>
      </c>
      <c r="AK49">
        <v>1878</v>
      </c>
      <c r="AL49" s="56">
        <v>-2170</v>
      </c>
      <c r="AM49" s="56">
        <v>-275</v>
      </c>
      <c r="AN49" s="53">
        <f t="shared" si="33"/>
        <v>1851</v>
      </c>
      <c r="AO49" s="53">
        <f t="shared" si="33"/>
        <v>1851</v>
      </c>
      <c r="AP49" s="53">
        <f t="shared" si="17"/>
        <v>-319</v>
      </c>
      <c r="AQ49" s="53">
        <f t="shared" si="17"/>
        <v>1576</v>
      </c>
      <c r="AR49" s="47">
        <v>-2134</v>
      </c>
      <c r="AS49" s="47">
        <v>-2134</v>
      </c>
      <c r="AT49" s="53">
        <f t="shared" si="18"/>
        <v>-283</v>
      </c>
      <c r="AU49" s="53">
        <f t="shared" si="18"/>
        <v>-283</v>
      </c>
      <c r="BA49" s="53"/>
    </row>
    <row r="50" spans="1:53" x14ac:dyDescent="0.25">
      <c r="A50" s="45" t="str">
        <f t="shared" si="23"/>
        <v>Pier4</v>
      </c>
      <c r="B50" s="45" t="str">
        <f t="shared" si="24"/>
        <v>Central Web</v>
      </c>
      <c r="C50" t="s">
        <v>37</v>
      </c>
      <c r="D50" s="53" t="str">
        <f t="shared" si="9"/>
        <v>Pier4Central WebT20</v>
      </c>
      <c r="E50" s="56">
        <f t="shared" si="10"/>
        <v>4021</v>
      </c>
      <c r="F50" s="56">
        <f t="shared" si="10"/>
        <v>2126</v>
      </c>
      <c r="G50" s="46">
        <f t="shared" si="11"/>
        <v>8250</v>
      </c>
      <c r="H50" s="53">
        <v>6000</v>
      </c>
      <c r="I50" s="54">
        <f t="shared" si="35"/>
        <v>9</v>
      </c>
      <c r="J50" s="54">
        <f t="shared" si="34"/>
        <v>9</v>
      </c>
      <c r="K50" s="46">
        <f t="shared" si="12"/>
        <v>48750</v>
      </c>
      <c r="L50" s="46">
        <f t="shared" si="13"/>
        <v>46500</v>
      </c>
      <c r="M50">
        <v>3</v>
      </c>
      <c r="N50" s="53">
        <v>3</v>
      </c>
      <c r="O50">
        <v>4</v>
      </c>
      <c r="P50" s="53">
        <v>4</v>
      </c>
      <c r="Q50">
        <v>-1669</v>
      </c>
      <c r="R50">
        <v>711</v>
      </c>
      <c r="S50">
        <v>-902</v>
      </c>
      <c r="T50">
        <v>1671</v>
      </c>
      <c r="U50" s="47">
        <f t="shared" si="14"/>
        <v>3990</v>
      </c>
      <c r="V50" s="47">
        <f t="shared" si="14"/>
        <v>3974</v>
      </c>
      <c r="W50" s="53">
        <f t="shared" si="36"/>
        <v>1454021</v>
      </c>
      <c r="X50" s="71">
        <f t="shared" si="37"/>
        <v>20141.314999999999</v>
      </c>
      <c r="Y50" s="71">
        <f t="shared" si="38"/>
        <v>20908.314999999999</v>
      </c>
      <c r="Z50" s="47">
        <f t="shared" si="29"/>
        <v>24777.55448275862</v>
      </c>
      <c r="AA50" s="57">
        <f t="shared" si="30"/>
        <v>25737.55448275862</v>
      </c>
      <c r="AB50" s="56">
        <f t="shared" si="39"/>
        <v>48885.188793103451</v>
      </c>
      <c r="AC50" s="57">
        <f t="shared" si="40"/>
        <v>46628.949310344826</v>
      </c>
      <c r="AD50" s="47">
        <f t="shared" si="27"/>
        <v>2633.4789655172417</v>
      </c>
      <c r="AE50" s="67">
        <f t="shared" si="28"/>
        <v>3306.4789655172417</v>
      </c>
      <c r="AF50" s="47">
        <f t="shared" si="31"/>
        <v>4221.4789655172417</v>
      </c>
      <c r="AG50" s="47">
        <f t="shared" si="32"/>
        <v>3720.4789655172417</v>
      </c>
      <c r="AH50" s="53">
        <v>1879</v>
      </c>
      <c r="AI50" s="53">
        <v>1206</v>
      </c>
      <c r="AJ50">
        <v>291</v>
      </c>
      <c r="AK50">
        <v>792</v>
      </c>
      <c r="AL50" s="56">
        <v>2170</v>
      </c>
      <c r="AM50" s="56">
        <v>275</v>
      </c>
      <c r="AN50" s="53">
        <f t="shared" si="33"/>
        <v>1851</v>
      </c>
      <c r="AO50" s="53">
        <f t="shared" si="33"/>
        <v>1851</v>
      </c>
      <c r="AP50" s="53">
        <f t="shared" si="17"/>
        <v>4021</v>
      </c>
      <c r="AQ50" s="53">
        <f t="shared" si="17"/>
        <v>2126</v>
      </c>
      <c r="AR50" s="47">
        <v>2139</v>
      </c>
      <c r="AS50" s="47">
        <v>2123</v>
      </c>
      <c r="AT50" s="53">
        <f t="shared" si="18"/>
        <v>3990</v>
      </c>
      <c r="AU50" s="53">
        <f t="shared" si="18"/>
        <v>3974</v>
      </c>
      <c r="BA50" s="53"/>
    </row>
    <row r="51" spans="1:53" x14ac:dyDescent="0.25">
      <c r="A51" s="45" t="str">
        <f t="shared" si="23"/>
        <v>Pier4</v>
      </c>
      <c r="B51" s="45" t="str">
        <f t="shared" si="24"/>
        <v>Central Web</v>
      </c>
      <c r="C51" t="s">
        <v>38</v>
      </c>
      <c r="D51" s="53" t="str">
        <f t="shared" si="9"/>
        <v>Pier4Central WebT21</v>
      </c>
      <c r="E51" s="56">
        <f t="shared" si="10"/>
        <v>-519</v>
      </c>
      <c r="F51" s="56">
        <f t="shared" si="10"/>
        <v>1576</v>
      </c>
      <c r="G51" s="46">
        <f t="shared" si="11"/>
        <v>8250</v>
      </c>
      <c r="H51" s="53">
        <v>6000</v>
      </c>
      <c r="I51" s="54">
        <f t="shared" si="35"/>
        <v>9</v>
      </c>
      <c r="J51" s="54">
        <f t="shared" si="34"/>
        <v>10</v>
      </c>
      <c r="K51" s="46">
        <f t="shared" si="12"/>
        <v>48750</v>
      </c>
      <c r="L51" s="46">
        <f t="shared" si="13"/>
        <v>51000</v>
      </c>
      <c r="M51">
        <v>4</v>
      </c>
      <c r="N51" s="53">
        <v>4</v>
      </c>
      <c r="O51">
        <v>5</v>
      </c>
      <c r="P51" s="53">
        <v>5</v>
      </c>
      <c r="Q51">
        <v>-1376</v>
      </c>
      <c r="R51">
        <v>-1381</v>
      </c>
      <c r="S51">
        <v>-571</v>
      </c>
      <c r="T51">
        <v>-576</v>
      </c>
      <c r="U51" s="47">
        <f t="shared" si="14"/>
        <v>-485</v>
      </c>
      <c r="V51" s="47">
        <f t="shared" si="14"/>
        <v>-488</v>
      </c>
      <c r="W51" s="53">
        <f t="shared" si="36"/>
        <v>1449481</v>
      </c>
      <c r="X51" s="71">
        <f t="shared" si="37"/>
        <v>24864.604310344828</v>
      </c>
      <c r="Y51" s="71">
        <f t="shared" si="38"/>
        <v>25669.604310344828</v>
      </c>
      <c r="Z51" s="47">
        <f t="shared" si="29"/>
        <v>27108.798965517242</v>
      </c>
      <c r="AA51" s="57">
        <f t="shared" si="30"/>
        <v>27913.798965517242</v>
      </c>
      <c r="AB51" s="56">
        <f t="shared" si="39"/>
        <v>48732.550862068965</v>
      </c>
      <c r="AC51" s="57">
        <f t="shared" si="40"/>
        <v>50981.745517241376</v>
      </c>
      <c r="AD51" s="47">
        <f t="shared" si="27"/>
        <v>3001.3893103448272</v>
      </c>
      <c r="AE51" s="67">
        <f t="shared" si="28"/>
        <v>3602.3893103448272</v>
      </c>
      <c r="AF51" s="47">
        <f t="shared" si="31"/>
        <v>3290.3893103448272</v>
      </c>
      <c r="AG51" s="47">
        <f t="shared" si="32"/>
        <v>2620.3893103448272</v>
      </c>
      <c r="AH51" s="53">
        <v>1497</v>
      </c>
      <c r="AI51" s="53">
        <v>896</v>
      </c>
      <c r="AJ51">
        <v>1208</v>
      </c>
      <c r="AK51">
        <v>1878</v>
      </c>
      <c r="AL51" s="56">
        <v>-2370</v>
      </c>
      <c r="AM51" s="56">
        <v>-275</v>
      </c>
      <c r="AN51" s="53">
        <f t="shared" si="33"/>
        <v>1851</v>
      </c>
      <c r="AO51" s="53">
        <f t="shared" si="33"/>
        <v>1851</v>
      </c>
      <c r="AP51" s="53">
        <f t="shared" si="17"/>
        <v>-519</v>
      </c>
      <c r="AQ51" s="53">
        <f t="shared" si="17"/>
        <v>1576</v>
      </c>
      <c r="AR51" s="47">
        <v>-2336</v>
      </c>
      <c r="AS51" s="47">
        <v>-2339</v>
      </c>
      <c r="AT51" s="53">
        <f t="shared" si="18"/>
        <v>-485</v>
      </c>
      <c r="AU51" s="53">
        <f t="shared" si="18"/>
        <v>-488</v>
      </c>
      <c r="BA51" s="53"/>
    </row>
    <row r="52" spans="1:53" x14ac:dyDescent="0.25">
      <c r="A52" s="45" t="str">
        <f t="shared" si="23"/>
        <v>Pier4</v>
      </c>
      <c r="B52" s="45" t="str">
        <f t="shared" si="24"/>
        <v>Central Web</v>
      </c>
      <c r="C52" t="s">
        <v>39</v>
      </c>
      <c r="D52" s="53" t="str">
        <f t="shared" si="9"/>
        <v>Pier4Central WebT22</v>
      </c>
      <c r="E52" s="56">
        <f t="shared" si="10"/>
        <v>4221</v>
      </c>
      <c r="F52" s="56">
        <f t="shared" si="10"/>
        <v>2126</v>
      </c>
      <c r="G52" s="46">
        <f t="shared" si="11"/>
        <v>8250</v>
      </c>
      <c r="H52" s="53">
        <v>6000</v>
      </c>
      <c r="I52" s="54">
        <f t="shared" si="35"/>
        <v>10</v>
      </c>
      <c r="J52" s="54">
        <f t="shared" si="34"/>
        <v>10</v>
      </c>
      <c r="K52" s="46">
        <f t="shared" si="12"/>
        <v>53250</v>
      </c>
      <c r="L52" s="46">
        <f t="shared" si="13"/>
        <v>51000</v>
      </c>
      <c r="M52">
        <v>3</v>
      </c>
      <c r="N52" s="53">
        <v>3</v>
      </c>
      <c r="O52">
        <v>5</v>
      </c>
      <c r="P52" s="53">
        <v>5</v>
      </c>
      <c r="Q52">
        <v>257</v>
      </c>
      <c r="R52">
        <v>-1360</v>
      </c>
      <c r="S52">
        <v>1041</v>
      </c>
      <c r="T52">
        <v>-386</v>
      </c>
      <c r="U52" s="47">
        <f t="shared" si="14"/>
        <v>4189</v>
      </c>
      <c r="V52" s="47">
        <f t="shared" si="14"/>
        <v>4172</v>
      </c>
      <c r="W52" s="53">
        <f t="shared" si="36"/>
        <v>1454221</v>
      </c>
      <c r="X52" s="71">
        <f t="shared" si="37"/>
        <v>22070.314999999999</v>
      </c>
      <c r="Y52" s="71">
        <f t="shared" si="38"/>
        <v>22854.314999999999</v>
      </c>
      <c r="Z52" s="47">
        <f t="shared" si="29"/>
        <v>27222.96448275862</v>
      </c>
      <c r="AA52" s="57">
        <f t="shared" si="30"/>
        <v>28196.96448275862</v>
      </c>
      <c r="AB52" s="56">
        <f t="shared" si="39"/>
        <v>53405.012586206889</v>
      </c>
      <c r="AC52" s="57">
        <f t="shared" si="40"/>
        <v>51148.462758620684</v>
      </c>
      <c r="AD52" s="47">
        <f t="shared" si="27"/>
        <v>2634.0996551724138</v>
      </c>
      <c r="AE52" s="67">
        <f t="shared" si="28"/>
        <v>3307.0996551724138</v>
      </c>
      <c r="AF52" s="47">
        <f t="shared" si="31"/>
        <v>4222.0996551724138</v>
      </c>
      <c r="AG52" s="47">
        <f t="shared" si="32"/>
        <v>3721.0996551724138</v>
      </c>
      <c r="AH52" s="53">
        <v>1879</v>
      </c>
      <c r="AI52" s="53">
        <v>1206</v>
      </c>
      <c r="AJ52">
        <v>291</v>
      </c>
      <c r="AK52">
        <v>792</v>
      </c>
      <c r="AL52" s="56">
        <v>2370</v>
      </c>
      <c r="AM52" s="56">
        <v>275</v>
      </c>
      <c r="AN52" s="53">
        <f t="shared" si="33"/>
        <v>1851</v>
      </c>
      <c r="AO52" s="53">
        <f t="shared" si="33"/>
        <v>1851</v>
      </c>
      <c r="AP52" s="53">
        <f t="shared" si="17"/>
        <v>4221</v>
      </c>
      <c r="AQ52" s="53">
        <f t="shared" si="17"/>
        <v>2126</v>
      </c>
      <c r="AR52" s="47">
        <v>2338</v>
      </c>
      <c r="AS52" s="47">
        <v>2321</v>
      </c>
      <c r="AT52" s="53">
        <f t="shared" si="18"/>
        <v>4189</v>
      </c>
      <c r="AU52" s="53">
        <f t="shared" si="18"/>
        <v>4172</v>
      </c>
      <c r="BA52" s="53"/>
    </row>
    <row r="53" spans="1:53" s="2" customFormat="1" x14ac:dyDescent="0.25">
      <c r="A53" s="2" t="str">
        <f t="shared" si="23"/>
        <v>Pier4</v>
      </c>
      <c r="B53" s="2" t="str">
        <f t="shared" si="24"/>
        <v>Central Web</v>
      </c>
      <c r="C53" s="2" t="s">
        <v>40</v>
      </c>
      <c r="D53" s="2" t="str">
        <f t="shared" si="9"/>
        <v>Pier4Central WebT23</v>
      </c>
      <c r="E53" s="56">
        <f t="shared" si="10"/>
        <v>-719</v>
      </c>
      <c r="F53" s="56">
        <f t="shared" si="10"/>
        <v>1576</v>
      </c>
      <c r="G53" s="2">
        <f t="shared" si="11"/>
        <v>8250</v>
      </c>
      <c r="H53" s="2">
        <v>6000</v>
      </c>
      <c r="I53" s="62">
        <f t="shared" si="35"/>
        <v>10</v>
      </c>
      <c r="J53" s="62">
        <f t="shared" si="34"/>
        <v>11</v>
      </c>
      <c r="K53" s="2">
        <f t="shared" si="12"/>
        <v>53250</v>
      </c>
      <c r="L53" s="2">
        <f t="shared" si="13"/>
        <v>55500</v>
      </c>
      <c r="M53" s="2">
        <v>4</v>
      </c>
      <c r="N53" s="2">
        <v>4</v>
      </c>
      <c r="O53" s="2">
        <v>5</v>
      </c>
      <c r="P53" s="2">
        <v>5</v>
      </c>
      <c r="Q53" s="2">
        <v>637</v>
      </c>
      <c r="R53" s="2">
        <v>631</v>
      </c>
      <c r="S53" s="2">
        <v>1424</v>
      </c>
      <c r="T53" s="2">
        <v>1420</v>
      </c>
      <c r="U53" s="47">
        <f t="shared" si="14"/>
        <v>-686</v>
      </c>
      <c r="V53" s="47">
        <f t="shared" si="14"/>
        <v>-686</v>
      </c>
      <c r="W53" s="2">
        <f>Radius_at_L201+E53</f>
        <v>1449281</v>
      </c>
      <c r="X53" s="75">
        <f>(G53+4500*M53)*(W53/Radius_at_L201)+Q53</f>
        <v>26873.983620689654</v>
      </c>
      <c r="Y53" s="75">
        <f>(G53+4500*N53)*(W53/Radius_at_L201)+S53</f>
        <v>27660.983620689654</v>
      </c>
      <c r="Z53" s="63">
        <f t="shared" si="29"/>
        <v>29116.867931034481</v>
      </c>
      <c r="AA53" s="64">
        <f t="shared" si="30"/>
        <v>29905.867931034481</v>
      </c>
      <c r="AB53" s="61">
        <f t="shared" si="39"/>
        <v>53223.595344827583</v>
      </c>
      <c r="AC53" s="64">
        <f t="shared" si="40"/>
        <v>55472.479655172414</v>
      </c>
      <c r="AD53" s="63">
        <f t="shared" si="27"/>
        <v>3000.7686206896551</v>
      </c>
      <c r="AE53" s="70">
        <f t="shared" si="28"/>
        <v>3601.7686206896551</v>
      </c>
      <c r="AF53" s="63">
        <f t="shared" si="31"/>
        <v>3289.7686206896551</v>
      </c>
      <c r="AG53" s="63">
        <f t="shared" si="32"/>
        <v>2619.7686206896551</v>
      </c>
      <c r="AH53" s="2">
        <v>1497</v>
      </c>
      <c r="AI53" s="2">
        <v>896</v>
      </c>
      <c r="AJ53" s="2">
        <v>1208</v>
      </c>
      <c r="AK53" s="2">
        <v>1878</v>
      </c>
      <c r="AL53" s="61">
        <v>-2570</v>
      </c>
      <c r="AM53" s="61">
        <v>-275</v>
      </c>
      <c r="AN53" s="53">
        <f t="shared" si="33"/>
        <v>1851</v>
      </c>
      <c r="AO53" s="53">
        <f t="shared" si="33"/>
        <v>1851</v>
      </c>
      <c r="AP53" s="53">
        <f t="shared" si="17"/>
        <v>-719</v>
      </c>
      <c r="AQ53" s="53">
        <f t="shared" si="17"/>
        <v>1576</v>
      </c>
      <c r="AR53" s="63">
        <v>-2537</v>
      </c>
      <c r="AS53" s="63">
        <v>-2537</v>
      </c>
      <c r="AT53" s="53">
        <f t="shared" si="18"/>
        <v>-686</v>
      </c>
      <c r="AU53" s="53">
        <f t="shared" si="18"/>
        <v>-686</v>
      </c>
    </row>
    <row r="54" spans="1:53" s="65" customFormat="1" x14ac:dyDescent="0.25">
      <c r="A54" s="65" t="str">
        <f t="shared" si="23"/>
        <v>Pier4</v>
      </c>
      <c r="B54" s="65" t="str">
        <f t="shared" si="24"/>
        <v>Central Web</v>
      </c>
      <c r="C54" s="65" t="s">
        <v>41</v>
      </c>
      <c r="D54" s="65" t="str">
        <f t="shared" si="9"/>
        <v>Pier4Central WebT24</v>
      </c>
      <c r="E54" s="56">
        <f t="shared" si="10"/>
        <v>4421</v>
      </c>
      <c r="F54" s="56">
        <f t="shared" si="10"/>
        <v>2126</v>
      </c>
      <c r="G54" s="65">
        <f t="shared" si="11"/>
        <v>8250</v>
      </c>
      <c r="H54" s="65">
        <v>6000</v>
      </c>
      <c r="I54" s="66">
        <f t="shared" si="35"/>
        <v>11</v>
      </c>
      <c r="J54" s="66">
        <f t="shared" si="34"/>
        <v>11</v>
      </c>
      <c r="K54" s="65">
        <f t="shared" si="12"/>
        <v>57750</v>
      </c>
      <c r="L54" s="65">
        <f t="shared" si="13"/>
        <v>55500</v>
      </c>
      <c r="M54" s="65">
        <v>4</v>
      </c>
      <c r="N54" s="65">
        <v>4</v>
      </c>
      <c r="O54" s="65">
        <v>5</v>
      </c>
      <c r="P54" s="65">
        <v>5</v>
      </c>
      <c r="Q54" s="65">
        <v>-2273</v>
      </c>
      <c r="R54" s="65">
        <v>1111</v>
      </c>
      <c r="S54" s="65">
        <v>-1471</v>
      </c>
      <c r="T54" s="65">
        <v>2099</v>
      </c>
      <c r="U54" s="47">
        <f t="shared" si="14"/>
        <v>4387</v>
      </c>
      <c r="V54" s="47">
        <f t="shared" si="14"/>
        <v>4371</v>
      </c>
      <c r="W54" s="65">
        <f t="shared" si="36"/>
        <v>1454421</v>
      </c>
      <c r="X54" s="71">
        <f t="shared" si="37"/>
        <v>24057.035344827589</v>
      </c>
      <c r="Y54" s="71">
        <f t="shared" si="38"/>
        <v>24859.035344827589</v>
      </c>
      <c r="Z54" s="47">
        <f t="shared" si="29"/>
        <v>29697.895517241381</v>
      </c>
      <c r="AA54" s="57">
        <f t="shared" si="30"/>
        <v>30685.895517241381</v>
      </c>
      <c r="AB54" s="56">
        <f t="shared" si="39"/>
        <v>57926.07775862069</v>
      </c>
      <c r="AC54" s="57">
        <f t="shared" si="40"/>
        <v>55669.217586206898</v>
      </c>
      <c r="AD54" s="47">
        <f t="shared" si="27"/>
        <v>2634.7203448275859</v>
      </c>
      <c r="AE54" s="67">
        <f t="shared" si="28"/>
        <v>3307.7203448275859</v>
      </c>
      <c r="AF54" s="47">
        <f t="shared" si="31"/>
        <v>4222.7203448275859</v>
      </c>
      <c r="AG54" s="47">
        <f t="shared" si="32"/>
        <v>3721.7203448275859</v>
      </c>
      <c r="AH54" s="65">
        <v>1879</v>
      </c>
      <c r="AI54" s="65">
        <v>1206</v>
      </c>
      <c r="AJ54" s="65">
        <v>291</v>
      </c>
      <c r="AK54" s="65">
        <v>792</v>
      </c>
      <c r="AL54" s="56">
        <v>2570</v>
      </c>
      <c r="AM54" s="56">
        <v>275</v>
      </c>
      <c r="AN54" s="53">
        <f t="shared" si="33"/>
        <v>1851</v>
      </c>
      <c r="AO54" s="53">
        <f t="shared" si="33"/>
        <v>1851</v>
      </c>
      <c r="AP54" s="53">
        <f t="shared" si="17"/>
        <v>4421</v>
      </c>
      <c r="AQ54" s="53">
        <f t="shared" si="17"/>
        <v>2126</v>
      </c>
      <c r="AR54" s="47">
        <v>2536</v>
      </c>
      <c r="AS54" s="47">
        <v>2520</v>
      </c>
      <c r="AT54" s="53">
        <f t="shared" si="18"/>
        <v>4387</v>
      </c>
      <c r="AU54" s="53">
        <f t="shared" si="18"/>
        <v>4371</v>
      </c>
    </row>
    <row r="55" spans="1:53" s="39" customFormat="1" x14ac:dyDescent="0.25">
      <c r="A55" s="39" t="str">
        <f t="shared" si="23"/>
        <v>Pier4</v>
      </c>
      <c r="B55" s="39" t="str">
        <f t="shared" si="24"/>
        <v>Central Web</v>
      </c>
      <c r="C55" s="39" t="s">
        <v>42</v>
      </c>
      <c r="D55" s="39" t="str">
        <f t="shared" si="9"/>
        <v>Pier4Central WebT25</v>
      </c>
      <c r="E55" s="56">
        <f t="shared" si="10"/>
        <v>-919</v>
      </c>
      <c r="F55" s="56">
        <f t="shared" si="10"/>
        <v>1576</v>
      </c>
      <c r="G55" s="39">
        <f t="shared" si="11"/>
        <v>8250</v>
      </c>
      <c r="H55" s="39">
        <v>6000</v>
      </c>
      <c r="I55" s="39">
        <f t="shared" si="35"/>
        <v>11</v>
      </c>
      <c r="J55" s="39">
        <f t="shared" si="34"/>
        <v>12</v>
      </c>
      <c r="K55" s="39">
        <f t="shared" si="12"/>
        <v>57750</v>
      </c>
      <c r="L55" s="39">
        <f t="shared" si="13"/>
        <v>60000</v>
      </c>
      <c r="M55" s="39">
        <v>5</v>
      </c>
      <c r="N55" s="39">
        <v>5</v>
      </c>
      <c r="O55" s="39">
        <v>6</v>
      </c>
      <c r="P55" s="39">
        <v>6</v>
      </c>
      <c r="Q55" s="39">
        <v>-1905</v>
      </c>
      <c r="R55" s="39">
        <v>-1911</v>
      </c>
      <c r="S55" s="39">
        <v>-1135</v>
      </c>
      <c r="T55" s="39">
        <v>-1141</v>
      </c>
      <c r="U55" s="47">
        <f t="shared" si="14"/>
        <v>-887</v>
      </c>
      <c r="V55" s="47">
        <f t="shared" si="14"/>
        <v>-887</v>
      </c>
      <c r="W55" s="39">
        <f t="shared" si="36"/>
        <v>1449081</v>
      </c>
      <c r="X55" s="72">
        <f t="shared" si="37"/>
        <v>28825.510862068968</v>
      </c>
      <c r="Y55" s="72">
        <f t="shared" si="38"/>
        <v>29595.510862068968</v>
      </c>
      <c r="Z55" s="55">
        <f t="shared" si="29"/>
        <v>31068.084827586208</v>
      </c>
      <c r="AA55" s="58">
        <f t="shared" si="30"/>
        <v>31838.084827586208</v>
      </c>
      <c r="AB55" s="55">
        <f t="shared" si="39"/>
        <v>57713.398448275861</v>
      </c>
      <c r="AC55" s="58">
        <f t="shared" si="40"/>
        <v>59961.972413793104</v>
      </c>
      <c r="AD55" s="55">
        <f t="shared" si="27"/>
        <v>3000.147931034483</v>
      </c>
      <c r="AE55" s="68">
        <f t="shared" si="28"/>
        <v>3601.147931034483</v>
      </c>
      <c r="AF55" s="55">
        <f t="shared" si="31"/>
        <v>3289.147931034483</v>
      </c>
      <c r="AG55" s="55">
        <f t="shared" si="32"/>
        <v>2619.147931034483</v>
      </c>
      <c r="AH55" s="39">
        <v>1497</v>
      </c>
      <c r="AI55" s="39">
        <v>896</v>
      </c>
      <c r="AJ55" s="39">
        <v>1208</v>
      </c>
      <c r="AK55" s="39">
        <v>1878</v>
      </c>
      <c r="AL55" s="55">
        <v>-2770</v>
      </c>
      <c r="AM55" s="55">
        <v>-275</v>
      </c>
      <c r="AN55" s="53">
        <f t="shared" si="33"/>
        <v>1851</v>
      </c>
      <c r="AO55" s="53">
        <f t="shared" si="33"/>
        <v>1851</v>
      </c>
      <c r="AP55" s="53">
        <f t="shared" si="17"/>
        <v>-919</v>
      </c>
      <c r="AQ55" s="53">
        <f t="shared" si="17"/>
        <v>1576</v>
      </c>
      <c r="AR55" s="55">
        <v>-2738</v>
      </c>
      <c r="AS55" s="55">
        <v>-2738</v>
      </c>
      <c r="AT55" s="53">
        <f t="shared" si="18"/>
        <v>-887</v>
      </c>
      <c r="AU55" s="53">
        <f t="shared" si="18"/>
        <v>-887</v>
      </c>
      <c r="BA55" s="53"/>
    </row>
    <row r="56" spans="1:53" x14ac:dyDescent="0.25">
      <c r="A56" s="45" t="str">
        <f t="shared" si="23"/>
        <v>Pier4</v>
      </c>
      <c r="B56" s="45" t="s">
        <v>220</v>
      </c>
      <c r="C56" t="s">
        <v>18</v>
      </c>
      <c r="D56" s="53" t="str">
        <f t="shared" si="9"/>
        <v>Pier4East WebT01</v>
      </c>
      <c r="E56" s="56">
        <f t="shared" si="10"/>
        <v>-6707</v>
      </c>
      <c r="F56" s="56">
        <f t="shared" si="10"/>
        <v>-6674.91</v>
      </c>
      <c r="G56" s="46">
        <f t="shared" si="11"/>
        <v>8250</v>
      </c>
      <c r="H56" s="53">
        <v>6000</v>
      </c>
      <c r="I56" s="54" t="s">
        <v>166</v>
      </c>
      <c r="J56" s="54">
        <v>0</v>
      </c>
      <c r="K56" s="46">
        <v>3750</v>
      </c>
      <c r="L56" s="46">
        <f t="shared" si="13"/>
        <v>6000</v>
      </c>
      <c r="M56" t="s">
        <v>166</v>
      </c>
      <c r="N56" s="53" t="s">
        <v>166</v>
      </c>
      <c r="O56">
        <v>0</v>
      </c>
      <c r="P56" s="53">
        <v>0</v>
      </c>
      <c r="Q56">
        <v>1293</v>
      </c>
      <c r="R56">
        <v>-2439</v>
      </c>
      <c r="S56">
        <v>1451</v>
      </c>
      <c r="T56">
        <v>-2282</v>
      </c>
      <c r="U56" s="47">
        <f t="shared" si="14"/>
        <v>-6716</v>
      </c>
      <c r="V56" s="47">
        <f t="shared" si="14"/>
        <v>-6716</v>
      </c>
      <c r="W56" s="53">
        <f t="shared" si="36"/>
        <v>1443293</v>
      </c>
      <c r="X56" s="71">
        <f>Q56</f>
        <v>1293</v>
      </c>
      <c r="Y56" s="71">
        <f>S56</f>
        <v>1451</v>
      </c>
      <c r="Z56" s="47">
        <f t="shared" si="29"/>
        <v>3533.2468965517246</v>
      </c>
      <c r="AA56" s="57">
        <f t="shared" si="30"/>
        <v>3690.2468965517246</v>
      </c>
      <c r="AB56" s="56">
        <f t="shared" si="39"/>
        <v>3732.6543103448275</v>
      </c>
      <c r="AC56" s="57">
        <f t="shared" si="40"/>
        <v>5972.2468965517246</v>
      </c>
      <c r="AD56" s="47">
        <v>2330</v>
      </c>
      <c r="AE56" s="67">
        <v>3059</v>
      </c>
      <c r="AF56" s="47">
        <v>3669</v>
      </c>
      <c r="AG56" s="47">
        <v>3090</v>
      </c>
      <c r="AH56" s="53" t="s">
        <v>166</v>
      </c>
      <c r="AI56" s="53" t="s">
        <v>166</v>
      </c>
      <c r="AJ56" t="s">
        <v>166</v>
      </c>
      <c r="AK56" t="s">
        <v>166</v>
      </c>
      <c r="AL56" s="56">
        <v>-275</v>
      </c>
      <c r="AM56" s="56">
        <v>-242.91</v>
      </c>
      <c r="AN56" s="53">
        <v>-6432</v>
      </c>
      <c r="AO56" s="53">
        <v>-6432</v>
      </c>
      <c r="AP56" s="53">
        <f t="shared" si="17"/>
        <v>-6707</v>
      </c>
      <c r="AQ56" s="53">
        <f t="shared" si="17"/>
        <v>-6674.91</v>
      </c>
      <c r="AR56" s="47">
        <v>-284</v>
      </c>
      <c r="AS56" s="47">
        <v>-284</v>
      </c>
      <c r="AT56" s="53">
        <f t="shared" si="18"/>
        <v>-6716</v>
      </c>
      <c r="AU56" s="53">
        <f t="shared" si="18"/>
        <v>-6716</v>
      </c>
      <c r="BA56" s="53"/>
    </row>
    <row r="57" spans="1:53" x14ac:dyDescent="0.25">
      <c r="A57" s="45" t="str">
        <f t="shared" si="23"/>
        <v>Pier4</v>
      </c>
      <c r="B57" s="45" t="str">
        <f t="shared" si="24"/>
        <v>East Web</v>
      </c>
      <c r="C57" t="s">
        <v>19</v>
      </c>
      <c r="D57" s="53" t="str">
        <f t="shared" si="9"/>
        <v>Pier4East WebT02</v>
      </c>
      <c r="E57" s="56">
        <f t="shared" si="10"/>
        <v>-6157</v>
      </c>
      <c r="F57" s="56">
        <f t="shared" si="10"/>
        <v>-6114.91</v>
      </c>
      <c r="G57" s="46">
        <f t="shared" si="11"/>
        <v>8250</v>
      </c>
      <c r="H57" s="53">
        <v>6000</v>
      </c>
      <c r="I57" s="54">
        <v>0</v>
      </c>
      <c r="J57" s="54">
        <v>0</v>
      </c>
      <c r="K57" s="46">
        <f t="shared" si="12"/>
        <v>8250</v>
      </c>
      <c r="L57" s="46">
        <f t="shared" si="13"/>
        <v>6000</v>
      </c>
      <c r="M57">
        <v>0</v>
      </c>
      <c r="N57" s="53">
        <v>0</v>
      </c>
      <c r="O57">
        <v>0</v>
      </c>
      <c r="P57" s="53">
        <v>0</v>
      </c>
      <c r="Q57">
        <v>-1818</v>
      </c>
      <c r="R57">
        <v>-1818</v>
      </c>
      <c r="S57">
        <v>-1656</v>
      </c>
      <c r="T57">
        <v>-1656</v>
      </c>
      <c r="U57" s="47">
        <f t="shared" si="14"/>
        <v>-6146</v>
      </c>
      <c r="V57" s="47">
        <f t="shared" si="14"/>
        <v>-6146</v>
      </c>
      <c r="W57" s="53">
        <f t="shared" si="36"/>
        <v>1443843</v>
      </c>
      <c r="X57" s="71">
        <f t="shared" si="37"/>
        <v>6396.9687931034478</v>
      </c>
      <c r="Y57" s="71">
        <f t="shared" si="38"/>
        <v>6558.9687931034478</v>
      </c>
      <c r="Z57" s="47">
        <f t="shared" si="29"/>
        <v>4156.5227586206893</v>
      </c>
      <c r="AA57" s="57">
        <f t="shared" si="30"/>
        <v>4318.5227586206893</v>
      </c>
      <c r="AB57" s="56">
        <f t="shared" si="39"/>
        <v>8214.9687931034478</v>
      </c>
      <c r="AC57" s="57">
        <f t="shared" si="40"/>
        <v>5974.5227586206893</v>
      </c>
      <c r="AD57" s="47">
        <f t="shared" ref="AD57:AD80" si="41">4500*$W57/Radius_at_L201-AH57</f>
        <v>3607.892068965517</v>
      </c>
      <c r="AE57" s="67">
        <f t="shared" ref="AE57:AE80" si="42">4500*$W57/Radius_at_L201-AI57</f>
        <v>4118.892068965517</v>
      </c>
      <c r="AF57" s="47">
        <v>3686</v>
      </c>
      <c r="AG57" s="47">
        <v>3106</v>
      </c>
      <c r="AH57" s="53">
        <v>873</v>
      </c>
      <c r="AI57" s="53">
        <v>362</v>
      </c>
      <c r="AJ57" t="s">
        <v>166</v>
      </c>
      <c r="AK57" t="s">
        <v>166</v>
      </c>
      <c r="AL57" s="56">
        <v>275</v>
      </c>
      <c r="AM57" s="56">
        <v>317.08999999999997</v>
      </c>
      <c r="AN57" s="53">
        <v>-6432</v>
      </c>
      <c r="AO57" s="53">
        <v>-6432</v>
      </c>
      <c r="AP57" s="53">
        <f t="shared" si="17"/>
        <v>-6157</v>
      </c>
      <c r="AQ57" s="53">
        <f t="shared" si="17"/>
        <v>-6114.91</v>
      </c>
      <c r="AR57" s="47">
        <v>286</v>
      </c>
      <c r="AS57" s="47">
        <v>286</v>
      </c>
      <c r="AT57" s="53">
        <f t="shared" si="18"/>
        <v>-6146</v>
      </c>
      <c r="AU57" s="53">
        <f t="shared" si="18"/>
        <v>-6146</v>
      </c>
      <c r="BA57" s="53"/>
    </row>
    <row r="58" spans="1:53" x14ac:dyDescent="0.25">
      <c r="A58" s="45" t="str">
        <f t="shared" si="23"/>
        <v>Pier4</v>
      </c>
      <c r="B58" s="45" t="str">
        <f t="shared" si="24"/>
        <v>East Web</v>
      </c>
      <c r="C58" t="s">
        <v>20</v>
      </c>
      <c r="D58" s="53" t="str">
        <f t="shared" si="9"/>
        <v>Pier4East WebT03</v>
      </c>
      <c r="E58" s="56">
        <f t="shared" si="10"/>
        <v>-7002</v>
      </c>
      <c r="F58" s="56">
        <f t="shared" si="10"/>
        <v>-6674.91</v>
      </c>
      <c r="G58" s="46">
        <f t="shared" si="11"/>
        <v>8250</v>
      </c>
      <c r="H58" s="53">
        <v>6000</v>
      </c>
      <c r="I58" s="54">
        <v>0</v>
      </c>
      <c r="J58" s="54">
        <f>J56+1</f>
        <v>1</v>
      </c>
      <c r="K58" s="46">
        <f t="shared" si="12"/>
        <v>8250</v>
      </c>
      <c r="L58" s="46">
        <f t="shared" si="13"/>
        <v>10500</v>
      </c>
      <c r="M58">
        <v>-1</v>
      </c>
      <c r="N58" s="53">
        <v>-1</v>
      </c>
      <c r="O58">
        <v>0</v>
      </c>
      <c r="P58" s="53">
        <v>0</v>
      </c>
      <c r="Q58">
        <v>636</v>
      </c>
      <c r="R58">
        <v>636</v>
      </c>
      <c r="S58">
        <v>1578</v>
      </c>
      <c r="T58">
        <v>1578</v>
      </c>
      <c r="U58" s="47">
        <f t="shared" si="14"/>
        <v>-6957</v>
      </c>
      <c r="V58" s="47">
        <f t="shared" si="14"/>
        <v>-6957</v>
      </c>
      <c r="W58" s="53">
        <f t="shared" si="36"/>
        <v>1442998</v>
      </c>
      <c r="X58" s="71">
        <f t="shared" si="37"/>
        <v>4367.8913793103447</v>
      </c>
      <c r="Y58" s="71">
        <f t="shared" si="38"/>
        <v>5309.8913793103447</v>
      </c>
      <c r="Z58" s="47">
        <f t="shared" si="29"/>
        <v>6607.0262068965512</v>
      </c>
      <c r="AA58" s="57">
        <f t="shared" si="30"/>
        <v>7549.0262068965512</v>
      </c>
      <c r="AB58" s="56">
        <f t="shared" si="39"/>
        <v>8210.1610344827586</v>
      </c>
      <c r="AC58" s="57">
        <f t="shared" si="40"/>
        <v>10449.295862068964</v>
      </c>
      <c r="AD58" s="47">
        <f t="shared" si="41"/>
        <v>3014.2696551724139</v>
      </c>
      <c r="AE58" s="67">
        <f t="shared" si="42"/>
        <v>3615.2696551724139</v>
      </c>
      <c r="AF58" s="47">
        <f t="shared" ref="AF58:AF80" si="43">4500*$W58/Radius_at_L201-AJ58</f>
        <v>3294.2696551724139</v>
      </c>
      <c r="AG58" s="47">
        <f t="shared" ref="AG58:AG80" si="44">4500*$W58/Radius_at_L201-AK58</f>
        <v>2624.2696551724139</v>
      </c>
      <c r="AH58" s="53">
        <v>1464</v>
      </c>
      <c r="AI58" s="53">
        <v>863</v>
      </c>
      <c r="AJ58">
        <v>1184</v>
      </c>
      <c r="AK58">
        <v>1854</v>
      </c>
      <c r="AL58" s="56">
        <v>-570</v>
      </c>
      <c r="AM58" s="56">
        <v>-242.91</v>
      </c>
      <c r="AN58" s="53">
        <v>-6432</v>
      </c>
      <c r="AO58" s="53">
        <v>-6432</v>
      </c>
      <c r="AP58" s="53">
        <f t="shared" si="17"/>
        <v>-7002</v>
      </c>
      <c r="AQ58" s="53">
        <f t="shared" si="17"/>
        <v>-6674.91</v>
      </c>
      <c r="AR58" s="47">
        <v>-525</v>
      </c>
      <c r="AS58" s="47">
        <v>-525</v>
      </c>
      <c r="AT58" s="53">
        <f t="shared" si="18"/>
        <v>-6957</v>
      </c>
      <c r="AU58" s="53">
        <f t="shared" si="18"/>
        <v>-6957</v>
      </c>
      <c r="BA58" s="53"/>
    </row>
    <row r="59" spans="1:53" x14ac:dyDescent="0.25">
      <c r="A59" s="45" t="str">
        <f t="shared" si="23"/>
        <v>Pier4</v>
      </c>
      <c r="B59" s="45" t="str">
        <f t="shared" si="24"/>
        <v>East Web</v>
      </c>
      <c r="C59" t="s">
        <v>21</v>
      </c>
      <c r="D59" s="53" t="str">
        <f t="shared" si="9"/>
        <v>Pier4East WebT04</v>
      </c>
      <c r="E59" s="56">
        <f t="shared" si="10"/>
        <v>-5862</v>
      </c>
      <c r="F59" s="56">
        <f t="shared" si="10"/>
        <v>-6114.91</v>
      </c>
      <c r="G59" s="46">
        <f t="shared" si="11"/>
        <v>8250</v>
      </c>
      <c r="H59" s="53">
        <v>6000</v>
      </c>
      <c r="I59" s="54">
        <v>1</v>
      </c>
      <c r="J59" s="54">
        <f t="shared" ref="J59:J80" si="45">J57+1</f>
        <v>1</v>
      </c>
      <c r="K59" s="46">
        <f t="shared" si="12"/>
        <v>12750</v>
      </c>
      <c r="L59" s="46">
        <f t="shared" si="13"/>
        <v>10500</v>
      </c>
      <c r="M59">
        <v>0</v>
      </c>
      <c r="N59" s="53">
        <v>0</v>
      </c>
      <c r="O59">
        <v>0</v>
      </c>
      <c r="P59" s="53">
        <v>0</v>
      </c>
      <c r="Q59">
        <v>134</v>
      </c>
      <c r="R59">
        <v>960</v>
      </c>
      <c r="S59">
        <v>785</v>
      </c>
      <c r="T59">
        <v>1794</v>
      </c>
      <c r="U59" s="47">
        <f t="shared" si="14"/>
        <v>-5883</v>
      </c>
      <c r="V59" s="47">
        <f t="shared" si="14"/>
        <v>-5897</v>
      </c>
      <c r="W59" s="53">
        <f t="shared" si="36"/>
        <v>1444138</v>
      </c>
      <c r="X59" s="71">
        <f t="shared" si="37"/>
        <v>8350.6472413793108</v>
      </c>
      <c r="Y59" s="71">
        <f t="shared" si="38"/>
        <v>9001.6472413793108</v>
      </c>
      <c r="Z59" s="47">
        <f t="shared" si="29"/>
        <v>6935.7434482758617</v>
      </c>
      <c r="AA59" s="57">
        <f t="shared" si="30"/>
        <v>7769.7434482758617</v>
      </c>
      <c r="AB59" s="56">
        <f t="shared" si="39"/>
        <v>12698.454827586207</v>
      </c>
      <c r="AC59" s="57">
        <f t="shared" si="40"/>
        <v>10457.551034482758</v>
      </c>
      <c r="AD59" s="47">
        <f t="shared" si="41"/>
        <v>2650.8075862068963</v>
      </c>
      <c r="AE59" s="67">
        <f t="shared" si="42"/>
        <v>3318.8075862068963</v>
      </c>
      <c r="AF59" s="47">
        <f t="shared" si="43"/>
        <v>4216.8075862068963</v>
      </c>
      <c r="AG59" s="47">
        <f t="shared" si="44"/>
        <v>3714.8075862068963</v>
      </c>
      <c r="AH59" s="53">
        <v>1831</v>
      </c>
      <c r="AI59" s="53">
        <v>1163</v>
      </c>
      <c r="AJ59">
        <v>265</v>
      </c>
      <c r="AK59">
        <v>767</v>
      </c>
      <c r="AL59" s="56">
        <v>570</v>
      </c>
      <c r="AM59" s="56">
        <v>317.08999999999997</v>
      </c>
      <c r="AN59" s="53">
        <v>-6432</v>
      </c>
      <c r="AO59" s="53">
        <v>-6432</v>
      </c>
      <c r="AP59" s="53">
        <f t="shared" si="17"/>
        <v>-5862</v>
      </c>
      <c r="AQ59" s="53">
        <f t="shared" si="17"/>
        <v>-6114.91</v>
      </c>
      <c r="AR59" s="47">
        <v>549</v>
      </c>
      <c r="AS59" s="47">
        <v>535</v>
      </c>
      <c r="AT59" s="53">
        <f t="shared" si="18"/>
        <v>-5883</v>
      </c>
      <c r="AU59" s="53">
        <f t="shared" si="18"/>
        <v>-5897</v>
      </c>
      <c r="BA59" s="53"/>
    </row>
    <row r="60" spans="1:53" x14ac:dyDescent="0.25">
      <c r="A60" s="45" t="str">
        <f t="shared" si="23"/>
        <v>Pier4</v>
      </c>
      <c r="B60" s="45" t="str">
        <f t="shared" si="24"/>
        <v>East Web</v>
      </c>
      <c r="C60" t="s">
        <v>22</v>
      </c>
      <c r="D60" s="53" t="str">
        <f t="shared" si="9"/>
        <v>Pier4East WebT05</v>
      </c>
      <c r="E60" s="56">
        <f t="shared" si="10"/>
        <v>-7202</v>
      </c>
      <c r="F60" s="56">
        <f t="shared" si="10"/>
        <v>-6674.91</v>
      </c>
      <c r="G60" s="46">
        <f t="shared" si="11"/>
        <v>8250</v>
      </c>
      <c r="H60" s="53">
        <v>6000</v>
      </c>
      <c r="I60" s="54">
        <v>1</v>
      </c>
      <c r="J60" s="54">
        <f t="shared" si="45"/>
        <v>2</v>
      </c>
      <c r="K60" s="46">
        <f t="shared" si="12"/>
        <v>12750</v>
      </c>
      <c r="L60" s="46">
        <f t="shared" si="13"/>
        <v>15000</v>
      </c>
      <c r="M60">
        <v>0</v>
      </c>
      <c r="N60" s="53">
        <v>0</v>
      </c>
      <c r="O60">
        <v>1</v>
      </c>
      <c r="P60" s="53">
        <v>1</v>
      </c>
      <c r="Q60">
        <v>-1448</v>
      </c>
      <c r="R60">
        <v>-1479</v>
      </c>
      <c r="S60">
        <v>-550</v>
      </c>
      <c r="T60">
        <v>-551</v>
      </c>
      <c r="U60" s="47">
        <f t="shared" si="14"/>
        <v>-7158</v>
      </c>
      <c r="V60" s="47">
        <f t="shared" si="14"/>
        <v>-7158</v>
      </c>
      <c r="W60" s="53">
        <f t="shared" si="36"/>
        <v>1442798</v>
      </c>
      <c r="X60" s="71">
        <f t="shared" si="37"/>
        <v>6761.0231034482767</v>
      </c>
      <c r="Y60" s="71">
        <f t="shared" si="38"/>
        <v>7659.0231034482767</v>
      </c>
      <c r="Z60" s="47">
        <f t="shared" si="29"/>
        <v>8968.8475862068972</v>
      </c>
      <c r="AA60" s="57">
        <f t="shared" si="30"/>
        <v>9896.8475862068972</v>
      </c>
      <c r="AB60" s="56">
        <f t="shared" si="39"/>
        <v>12686.672068965518</v>
      </c>
      <c r="AC60" s="57">
        <f t="shared" si="40"/>
        <v>14925.496551724138</v>
      </c>
      <c r="AD60" s="47">
        <f t="shared" si="41"/>
        <v>3013.6489655172418</v>
      </c>
      <c r="AE60" s="67">
        <f t="shared" si="42"/>
        <v>3614.6489655172418</v>
      </c>
      <c r="AF60" s="47">
        <f t="shared" si="43"/>
        <v>3293.6489655172418</v>
      </c>
      <c r="AG60" s="47">
        <f t="shared" si="44"/>
        <v>2623.6489655172418</v>
      </c>
      <c r="AH60" s="53">
        <v>1464</v>
      </c>
      <c r="AI60" s="53">
        <v>863</v>
      </c>
      <c r="AJ60">
        <v>1184</v>
      </c>
      <c r="AK60">
        <v>1854</v>
      </c>
      <c r="AL60" s="56">
        <v>-770</v>
      </c>
      <c r="AM60" s="56">
        <v>-242.91</v>
      </c>
      <c r="AN60" s="53">
        <v>-6432</v>
      </c>
      <c r="AO60" s="53">
        <v>-6432</v>
      </c>
      <c r="AP60" s="53">
        <f t="shared" si="17"/>
        <v>-7202</v>
      </c>
      <c r="AQ60" s="53">
        <f t="shared" si="17"/>
        <v>-6674.91</v>
      </c>
      <c r="AR60" s="47">
        <v>-726</v>
      </c>
      <c r="AS60" s="47">
        <v>-726</v>
      </c>
      <c r="AT60" s="53">
        <f t="shared" si="18"/>
        <v>-7158</v>
      </c>
      <c r="AU60" s="53">
        <f t="shared" si="18"/>
        <v>-7158</v>
      </c>
      <c r="BA60" s="53"/>
    </row>
    <row r="61" spans="1:53" x14ac:dyDescent="0.25">
      <c r="A61" s="45" t="str">
        <f t="shared" si="23"/>
        <v>Pier4</v>
      </c>
      <c r="B61" s="45" t="str">
        <f t="shared" si="24"/>
        <v>East Web</v>
      </c>
      <c r="C61" t="s">
        <v>23</v>
      </c>
      <c r="D61" s="53" t="str">
        <f t="shared" si="9"/>
        <v>Pier4East WebT06</v>
      </c>
      <c r="E61" s="56">
        <f t="shared" si="10"/>
        <v>-5662</v>
      </c>
      <c r="F61" s="56">
        <f t="shared" si="10"/>
        <v>-6114.91</v>
      </c>
      <c r="G61" s="46">
        <f t="shared" si="11"/>
        <v>8250</v>
      </c>
      <c r="H61" s="53">
        <v>6000</v>
      </c>
      <c r="I61" s="54">
        <f>I59+1</f>
        <v>2</v>
      </c>
      <c r="J61" s="54">
        <f t="shared" si="45"/>
        <v>2</v>
      </c>
      <c r="K61" s="46">
        <f t="shared" si="12"/>
        <v>17250</v>
      </c>
      <c r="L61" s="46">
        <f t="shared" si="13"/>
        <v>15000</v>
      </c>
      <c r="M61">
        <v>0</v>
      </c>
      <c r="N61" s="53">
        <v>0</v>
      </c>
      <c r="O61">
        <v>1</v>
      </c>
      <c r="P61" s="53">
        <v>1</v>
      </c>
      <c r="Q61">
        <v>1578</v>
      </c>
      <c r="R61">
        <v>-1420</v>
      </c>
      <c r="S61">
        <v>2249</v>
      </c>
      <c r="T61">
        <v>-569</v>
      </c>
      <c r="U61" s="47">
        <f t="shared" si="14"/>
        <v>-5685</v>
      </c>
      <c r="V61" s="47">
        <f t="shared" si="14"/>
        <v>-5699</v>
      </c>
      <c r="W61" s="53">
        <f t="shared" si="36"/>
        <v>1444338</v>
      </c>
      <c r="X61" s="71">
        <f t="shared" si="37"/>
        <v>9795.7851724137927</v>
      </c>
      <c r="Y61" s="71">
        <f t="shared" si="38"/>
        <v>10466.785172413793</v>
      </c>
      <c r="Z61" s="47">
        <f t="shared" si="29"/>
        <v>9038.9993103448269</v>
      </c>
      <c r="AA61" s="57">
        <f t="shared" si="30"/>
        <v>9889.9993103448269</v>
      </c>
      <c r="AB61" s="56">
        <f t="shared" si="39"/>
        <v>17182.641724137931</v>
      </c>
      <c r="AC61" s="57">
        <f t="shared" si="40"/>
        <v>14941.427586206897</v>
      </c>
      <c r="AD61" s="47">
        <f t="shared" si="41"/>
        <v>2651.4282758620693</v>
      </c>
      <c r="AE61" s="67">
        <f t="shared" si="42"/>
        <v>3319.4282758620693</v>
      </c>
      <c r="AF61" s="47">
        <f t="shared" si="43"/>
        <v>4217.4282758620693</v>
      </c>
      <c r="AG61" s="47">
        <f t="shared" si="44"/>
        <v>3715.4282758620693</v>
      </c>
      <c r="AH61" s="53">
        <v>1831</v>
      </c>
      <c r="AI61" s="53">
        <v>1163</v>
      </c>
      <c r="AJ61">
        <v>265</v>
      </c>
      <c r="AK61">
        <v>767</v>
      </c>
      <c r="AL61" s="56">
        <v>770</v>
      </c>
      <c r="AM61" s="56">
        <v>317.08999999999997</v>
      </c>
      <c r="AN61" s="53">
        <v>-6432</v>
      </c>
      <c r="AO61" s="53">
        <v>-6432</v>
      </c>
      <c r="AP61" s="53">
        <f t="shared" si="17"/>
        <v>-5662</v>
      </c>
      <c r="AQ61" s="53">
        <f t="shared" si="17"/>
        <v>-6114.91</v>
      </c>
      <c r="AR61" s="47">
        <v>747</v>
      </c>
      <c r="AS61" s="47">
        <v>733</v>
      </c>
      <c r="AT61" s="53">
        <f t="shared" si="18"/>
        <v>-5685</v>
      </c>
      <c r="AU61" s="53">
        <f t="shared" si="18"/>
        <v>-5699</v>
      </c>
      <c r="BA61" s="53"/>
    </row>
    <row r="62" spans="1:53" x14ac:dyDescent="0.25">
      <c r="A62" s="45" t="str">
        <f t="shared" si="23"/>
        <v>Pier4</v>
      </c>
      <c r="B62" s="45" t="str">
        <f t="shared" si="24"/>
        <v>East Web</v>
      </c>
      <c r="C62" t="s">
        <v>24</v>
      </c>
      <c r="D62" s="53" t="str">
        <f t="shared" si="9"/>
        <v>Pier4East WebT07</v>
      </c>
      <c r="E62" s="56">
        <f t="shared" si="10"/>
        <v>-7402</v>
      </c>
      <c r="F62" s="56">
        <f t="shared" si="10"/>
        <v>-6674.91</v>
      </c>
      <c r="G62" s="46">
        <f t="shared" si="11"/>
        <v>8250</v>
      </c>
      <c r="H62" s="53">
        <v>6000</v>
      </c>
      <c r="I62" s="54">
        <f t="shared" ref="I62:I80" si="46">I60+1</f>
        <v>2</v>
      </c>
      <c r="J62" s="54">
        <f t="shared" si="45"/>
        <v>3</v>
      </c>
      <c r="K62" s="46">
        <f t="shared" si="12"/>
        <v>17250</v>
      </c>
      <c r="L62" s="46">
        <f t="shared" si="13"/>
        <v>19500</v>
      </c>
      <c r="M62">
        <v>0</v>
      </c>
      <c r="N62" s="53">
        <v>0</v>
      </c>
      <c r="O62">
        <v>1</v>
      </c>
      <c r="P62" s="53">
        <v>1</v>
      </c>
      <c r="Q62">
        <v>852</v>
      </c>
      <c r="R62">
        <v>850</v>
      </c>
      <c r="S62">
        <v>1764</v>
      </c>
      <c r="T62">
        <v>1763</v>
      </c>
      <c r="U62" s="47">
        <f t="shared" si="14"/>
        <v>-7359</v>
      </c>
      <c r="V62" s="47">
        <f t="shared" si="14"/>
        <v>-7359</v>
      </c>
      <c r="W62" s="53">
        <f t="shared" si="36"/>
        <v>1442598</v>
      </c>
      <c r="X62" s="71">
        <f t="shared" si="37"/>
        <v>9059.885172413793</v>
      </c>
      <c r="Y62" s="71">
        <f t="shared" si="38"/>
        <v>9971.885172413793</v>
      </c>
      <c r="Z62" s="47">
        <f t="shared" si="29"/>
        <v>11296.399310344828</v>
      </c>
      <c r="AA62" s="57">
        <f t="shared" si="30"/>
        <v>12209.399310344828</v>
      </c>
      <c r="AB62" s="56">
        <f t="shared" si="39"/>
        <v>17161.941724137931</v>
      </c>
      <c r="AC62" s="57">
        <f t="shared" si="40"/>
        <v>19400.455862068964</v>
      </c>
      <c r="AD62" s="47">
        <f t="shared" si="41"/>
        <v>3013.0282758620688</v>
      </c>
      <c r="AE62" s="67">
        <f t="shared" si="42"/>
        <v>3614.0282758620688</v>
      </c>
      <c r="AF62" s="47">
        <f t="shared" si="43"/>
        <v>3293.0282758620688</v>
      </c>
      <c r="AG62" s="47">
        <f t="shared" si="44"/>
        <v>2623.0282758620688</v>
      </c>
      <c r="AH62" s="53">
        <v>1464</v>
      </c>
      <c r="AI62" s="53">
        <v>863</v>
      </c>
      <c r="AJ62">
        <v>1184</v>
      </c>
      <c r="AK62">
        <v>1854</v>
      </c>
      <c r="AL62" s="56">
        <v>-970</v>
      </c>
      <c r="AM62" s="56">
        <v>-242.91</v>
      </c>
      <c r="AN62" s="53">
        <v>-6432</v>
      </c>
      <c r="AO62" s="53">
        <v>-6432</v>
      </c>
      <c r="AP62" s="53">
        <f t="shared" si="17"/>
        <v>-7402</v>
      </c>
      <c r="AQ62" s="53">
        <f t="shared" si="17"/>
        <v>-6674.91</v>
      </c>
      <c r="AR62" s="47">
        <v>-927</v>
      </c>
      <c r="AS62" s="47">
        <v>-927</v>
      </c>
      <c r="AT62" s="53">
        <f t="shared" si="18"/>
        <v>-7359</v>
      </c>
      <c r="AU62" s="53">
        <f t="shared" si="18"/>
        <v>-7359</v>
      </c>
      <c r="BA62" s="53"/>
    </row>
    <row r="63" spans="1:53" x14ac:dyDescent="0.25">
      <c r="A63" s="45" t="str">
        <f t="shared" si="23"/>
        <v>Pier4</v>
      </c>
      <c r="B63" s="45" t="str">
        <f t="shared" si="24"/>
        <v>East Web</v>
      </c>
      <c r="C63" t="s">
        <v>25</v>
      </c>
      <c r="D63" s="53" t="str">
        <f t="shared" si="9"/>
        <v>Pier4East WebT08</v>
      </c>
      <c r="E63" s="56">
        <f t="shared" si="10"/>
        <v>-5462</v>
      </c>
      <c r="F63" s="56">
        <f t="shared" si="10"/>
        <v>-6114.91</v>
      </c>
      <c r="G63" s="46">
        <f t="shared" si="11"/>
        <v>8250</v>
      </c>
      <c r="H63" s="53">
        <v>6000</v>
      </c>
      <c r="I63" s="54">
        <f t="shared" si="46"/>
        <v>3</v>
      </c>
      <c r="J63" s="54">
        <f t="shared" si="45"/>
        <v>3</v>
      </c>
      <c r="K63" s="46">
        <f t="shared" si="12"/>
        <v>21750</v>
      </c>
      <c r="L63" s="46">
        <f t="shared" si="13"/>
        <v>19500</v>
      </c>
      <c r="M63">
        <v>1</v>
      </c>
      <c r="N63" s="53">
        <v>1</v>
      </c>
      <c r="O63">
        <v>1</v>
      </c>
      <c r="P63" s="53">
        <v>1</v>
      </c>
      <c r="Q63">
        <v>-1368</v>
      </c>
      <c r="R63">
        <v>728</v>
      </c>
      <c r="S63">
        <v>-677</v>
      </c>
      <c r="T63">
        <v>1595</v>
      </c>
      <c r="U63" s="47">
        <f t="shared" si="14"/>
        <v>-5486</v>
      </c>
      <c r="V63" s="47">
        <f t="shared" si="14"/>
        <v>-5500</v>
      </c>
      <c r="W63" s="53">
        <f t="shared" si="36"/>
        <v>1444538</v>
      </c>
      <c r="X63" s="71">
        <f t="shared" si="37"/>
        <v>11333.972068965517</v>
      </c>
      <c r="Y63" s="71">
        <f t="shared" si="38"/>
        <v>12024.972068965517</v>
      </c>
      <c r="Z63" s="47">
        <f t="shared" si="29"/>
        <v>11188.447586206898</v>
      </c>
      <c r="AA63" s="57">
        <f t="shared" si="30"/>
        <v>12055.447586206898</v>
      </c>
      <c r="AB63" s="56">
        <f t="shared" si="39"/>
        <v>21668.07</v>
      </c>
      <c r="AC63" s="57">
        <f t="shared" si="40"/>
        <v>19426.545517241379</v>
      </c>
      <c r="AD63" s="47">
        <f t="shared" si="41"/>
        <v>2652.0489655172414</v>
      </c>
      <c r="AE63" s="67">
        <f t="shared" si="42"/>
        <v>3320.0489655172414</v>
      </c>
      <c r="AF63" s="47">
        <f t="shared" si="43"/>
        <v>4218.0489655172414</v>
      </c>
      <c r="AG63" s="47">
        <f t="shared" si="44"/>
        <v>3716.0489655172414</v>
      </c>
      <c r="AH63" s="53">
        <v>1831</v>
      </c>
      <c r="AI63" s="53">
        <v>1163</v>
      </c>
      <c r="AJ63">
        <v>265</v>
      </c>
      <c r="AK63">
        <v>767</v>
      </c>
      <c r="AL63" s="56">
        <v>970</v>
      </c>
      <c r="AM63" s="56">
        <v>317.08999999999997</v>
      </c>
      <c r="AN63" s="53">
        <v>-6432</v>
      </c>
      <c r="AO63" s="53">
        <v>-6432</v>
      </c>
      <c r="AP63" s="53">
        <f t="shared" si="17"/>
        <v>-5462</v>
      </c>
      <c r="AQ63" s="53">
        <f t="shared" si="17"/>
        <v>-6114.91</v>
      </c>
      <c r="AR63" s="47">
        <v>946</v>
      </c>
      <c r="AS63" s="47">
        <v>932</v>
      </c>
      <c r="AT63" s="53">
        <f t="shared" si="18"/>
        <v>-5486</v>
      </c>
      <c r="AU63" s="53">
        <f t="shared" si="18"/>
        <v>-5500</v>
      </c>
      <c r="BA63" s="53"/>
    </row>
    <row r="64" spans="1:53" x14ac:dyDescent="0.25">
      <c r="A64" s="45" t="str">
        <f t="shared" si="23"/>
        <v>Pier4</v>
      </c>
      <c r="B64" s="45" t="str">
        <f t="shared" si="24"/>
        <v>East Web</v>
      </c>
      <c r="C64" t="s">
        <v>26</v>
      </c>
      <c r="D64" s="53" t="str">
        <f t="shared" si="9"/>
        <v>Pier4East WebT09</v>
      </c>
      <c r="E64" s="56">
        <f t="shared" si="10"/>
        <v>-7602</v>
      </c>
      <c r="F64" s="56">
        <f t="shared" si="10"/>
        <v>-6674.91</v>
      </c>
      <c r="G64" s="46">
        <f t="shared" si="11"/>
        <v>8250</v>
      </c>
      <c r="H64" s="53">
        <v>6000</v>
      </c>
      <c r="I64" s="54">
        <f t="shared" si="46"/>
        <v>3</v>
      </c>
      <c r="J64" s="54">
        <f t="shared" si="45"/>
        <v>4</v>
      </c>
      <c r="K64" s="46">
        <f t="shared" si="12"/>
        <v>21750</v>
      </c>
      <c r="L64" s="46">
        <f t="shared" si="13"/>
        <v>24000</v>
      </c>
      <c r="M64">
        <v>1</v>
      </c>
      <c r="N64" s="53">
        <v>1</v>
      </c>
      <c r="O64">
        <v>2</v>
      </c>
      <c r="P64" s="53">
        <v>2</v>
      </c>
      <c r="Q64">
        <v>-1332</v>
      </c>
      <c r="R64">
        <v>-1334</v>
      </c>
      <c r="S64">
        <v>-435</v>
      </c>
      <c r="T64">
        <v>-437</v>
      </c>
      <c r="U64" s="47">
        <f t="shared" si="14"/>
        <v>-7561</v>
      </c>
      <c r="V64" s="47">
        <f t="shared" si="14"/>
        <v>-7561</v>
      </c>
      <c r="W64" s="53">
        <f t="shared" si="36"/>
        <v>1442398</v>
      </c>
      <c r="X64" s="71">
        <f t="shared" si="37"/>
        <v>11351.154827586206</v>
      </c>
      <c r="Y64" s="71">
        <f t="shared" si="38"/>
        <v>12248.154827586206</v>
      </c>
      <c r="Z64" s="47">
        <f t="shared" si="29"/>
        <v>13587.358620689654</v>
      </c>
      <c r="AA64" s="57">
        <f t="shared" si="30"/>
        <v>14484.358620689654</v>
      </c>
      <c r="AB64" s="56">
        <f t="shared" si="39"/>
        <v>21635.97</v>
      </c>
      <c r="AC64" s="57">
        <f t="shared" si="40"/>
        <v>23874.173793103448</v>
      </c>
      <c r="AD64" s="47">
        <f t="shared" si="41"/>
        <v>3012.4075862068967</v>
      </c>
      <c r="AE64" s="67">
        <f t="shared" si="42"/>
        <v>3613.4075862068967</v>
      </c>
      <c r="AF64" s="47">
        <f t="shared" si="43"/>
        <v>3292.4075862068967</v>
      </c>
      <c r="AG64" s="47">
        <f t="shared" si="44"/>
        <v>2622.4075862068967</v>
      </c>
      <c r="AH64" s="53">
        <v>1464</v>
      </c>
      <c r="AI64" s="53">
        <v>863</v>
      </c>
      <c r="AJ64">
        <v>1184</v>
      </c>
      <c r="AK64">
        <v>1854</v>
      </c>
      <c r="AL64" s="56">
        <v>-1170</v>
      </c>
      <c r="AM64" s="56">
        <v>-242.91</v>
      </c>
      <c r="AN64" s="53">
        <v>-6432</v>
      </c>
      <c r="AO64" s="53">
        <v>-6432</v>
      </c>
      <c r="AP64" s="53">
        <f t="shared" si="17"/>
        <v>-7602</v>
      </c>
      <c r="AQ64" s="53">
        <f t="shared" si="17"/>
        <v>-6674.91</v>
      </c>
      <c r="AR64" s="47">
        <v>-1129</v>
      </c>
      <c r="AS64" s="47">
        <v>-1129</v>
      </c>
      <c r="AT64" s="53">
        <f t="shared" si="18"/>
        <v>-7561</v>
      </c>
      <c r="AU64" s="53">
        <f t="shared" si="18"/>
        <v>-7561</v>
      </c>
      <c r="BA64" s="53"/>
    </row>
    <row r="65" spans="1:53" x14ac:dyDescent="0.25">
      <c r="A65" s="45" t="str">
        <f t="shared" si="23"/>
        <v>Pier4</v>
      </c>
      <c r="B65" s="45" t="str">
        <f t="shared" si="24"/>
        <v>East Web</v>
      </c>
      <c r="C65" t="s">
        <v>27</v>
      </c>
      <c r="D65" s="53" t="str">
        <f t="shared" si="9"/>
        <v>Pier4East WebT10</v>
      </c>
      <c r="E65" s="56">
        <f t="shared" si="10"/>
        <v>-5262</v>
      </c>
      <c r="F65" s="56">
        <f t="shared" si="10"/>
        <v>-6114.91</v>
      </c>
      <c r="G65" s="46">
        <f t="shared" si="11"/>
        <v>8250</v>
      </c>
      <c r="H65" s="53">
        <v>6000</v>
      </c>
      <c r="I65" s="54">
        <f t="shared" si="46"/>
        <v>4</v>
      </c>
      <c r="J65" s="54">
        <f t="shared" si="45"/>
        <v>4</v>
      </c>
      <c r="K65" s="46">
        <f t="shared" si="12"/>
        <v>26250</v>
      </c>
      <c r="L65" s="46">
        <f t="shared" si="13"/>
        <v>24000</v>
      </c>
      <c r="M65">
        <v>1</v>
      </c>
      <c r="N65" s="53">
        <v>1</v>
      </c>
      <c r="O65">
        <v>2</v>
      </c>
      <c r="P65" s="53">
        <v>2</v>
      </c>
      <c r="Q65">
        <v>253</v>
      </c>
      <c r="R65">
        <v>-1564</v>
      </c>
      <c r="S65">
        <v>965</v>
      </c>
      <c r="T65">
        <v>-681</v>
      </c>
      <c r="U65" s="47">
        <f t="shared" si="14"/>
        <v>-5288</v>
      </c>
      <c r="V65" s="47">
        <f t="shared" si="14"/>
        <v>-5302</v>
      </c>
      <c r="W65" s="53">
        <f t="shared" si="36"/>
        <v>1444738</v>
      </c>
      <c r="X65" s="71">
        <f t="shared" si="37"/>
        <v>12956.730689655173</v>
      </c>
      <c r="Y65" s="71">
        <f t="shared" si="38"/>
        <v>13668.730689655173</v>
      </c>
      <c r="Z65" s="47">
        <f t="shared" si="29"/>
        <v>13381.565517241379</v>
      </c>
      <c r="AA65" s="57">
        <f t="shared" si="30"/>
        <v>14264.565517241379</v>
      </c>
      <c r="AB65" s="56">
        <f t="shared" si="39"/>
        <v>26154.739655172416</v>
      </c>
      <c r="AC65" s="57">
        <f t="shared" si="40"/>
        <v>23912.904827586208</v>
      </c>
      <c r="AD65" s="47">
        <f t="shared" si="41"/>
        <v>2652.6696551724135</v>
      </c>
      <c r="AE65" s="67">
        <f t="shared" si="42"/>
        <v>3320.6696551724135</v>
      </c>
      <c r="AF65" s="47">
        <f t="shared" si="43"/>
        <v>4218.6696551724135</v>
      </c>
      <c r="AG65" s="47">
        <f t="shared" si="44"/>
        <v>3716.6696551724135</v>
      </c>
      <c r="AH65" s="53">
        <v>1831</v>
      </c>
      <c r="AI65" s="53">
        <v>1163</v>
      </c>
      <c r="AJ65">
        <v>265</v>
      </c>
      <c r="AK65">
        <v>767</v>
      </c>
      <c r="AL65" s="56">
        <v>1170</v>
      </c>
      <c r="AM65" s="56">
        <v>317.08999999999997</v>
      </c>
      <c r="AN65" s="53">
        <v>-6432</v>
      </c>
      <c r="AO65" s="53">
        <v>-6432</v>
      </c>
      <c r="AP65" s="53">
        <f t="shared" si="17"/>
        <v>-5262</v>
      </c>
      <c r="AQ65" s="53">
        <f t="shared" si="17"/>
        <v>-6114.91</v>
      </c>
      <c r="AR65" s="47">
        <v>1144</v>
      </c>
      <c r="AS65" s="47">
        <v>1130</v>
      </c>
      <c r="AT65" s="53">
        <f t="shared" si="18"/>
        <v>-5288</v>
      </c>
      <c r="AU65" s="53">
        <f t="shared" si="18"/>
        <v>-5302</v>
      </c>
      <c r="BA65" s="53"/>
    </row>
    <row r="66" spans="1:53" x14ac:dyDescent="0.25">
      <c r="A66" s="45" t="str">
        <f t="shared" si="23"/>
        <v>Pier4</v>
      </c>
      <c r="B66" s="45" t="str">
        <f t="shared" si="24"/>
        <v>East Web</v>
      </c>
      <c r="C66" t="s">
        <v>28</v>
      </c>
      <c r="D66" s="53" t="str">
        <f t="shared" si="9"/>
        <v>Pier4East WebT11</v>
      </c>
      <c r="E66" s="56">
        <f t="shared" si="10"/>
        <v>-7802</v>
      </c>
      <c r="F66" s="56">
        <f t="shared" si="10"/>
        <v>-6674.91</v>
      </c>
      <c r="G66" s="46">
        <f t="shared" si="11"/>
        <v>8250</v>
      </c>
      <c r="H66" s="53">
        <v>6000</v>
      </c>
      <c r="I66" s="54">
        <f t="shared" si="46"/>
        <v>4</v>
      </c>
      <c r="J66" s="54">
        <f t="shared" si="45"/>
        <v>5</v>
      </c>
      <c r="K66" s="46">
        <f t="shared" si="12"/>
        <v>26250</v>
      </c>
      <c r="L66" s="46">
        <f t="shared" si="13"/>
        <v>28500</v>
      </c>
      <c r="M66">
        <v>1</v>
      </c>
      <c r="N66" s="53">
        <v>1</v>
      </c>
      <c r="O66">
        <v>2</v>
      </c>
      <c r="P66" s="53">
        <v>2</v>
      </c>
      <c r="Q66">
        <v>922</v>
      </c>
      <c r="R66">
        <v>920</v>
      </c>
      <c r="S66">
        <v>1805</v>
      </c>
      <c r="T66">
        <v>1802</v>
      </c>
      <c r="U66" s="47">
        <f t="shared" si="14"/>
        <v>-7762</v>
      </c>
      <c r="V66" s="47">
        <f t="shared" si="14"/>
        <v>-7762</v>
      </c>
      <c r="W66" s="53">
        <f t="shared" si="36"/>
        <v>1442198</v>
      </c>
      <c r="X66" s="71">
        <f t="shared" si="37"/>
        <v>13603.39620689655</v>
      </c>
      <c r="Y66" s="71">
        <f t="shared" si="38"/>
        <v>14486.39620689655</v>
      </c>
      <c r="Z66" s="47">
        <f t="shared" si="29"/>
        <v>15839.289655172413</v>
      </c>
      <c r="AA66" s="57">
        <f t="shared" si="30"/>
        <v>16721.289655172412</v>
      </c>
      <c r="AB66" s="56">
        <f t="shared" si="39"/>
        <v>26108.756896551724</v>
      </c>
      <c r="AC66" s="57">
        <f t="shared" si="40"/>
        <v>28346.650344827583</v>
      </c>
      <c r="AD66" s="47">
        <f t="shared" si="41"/>
        <v>3011.7868965517246</v>
      </c>
      <c r="AE66" s="67">
        <f t="shared" si="42"/>
        <v>3612.7868965517246</v>
      </c>
      <c r="AF66" s="47">
        <f t="shared" si="43"/>
        <v>3291.7868965517246</v>
      </c>
      <c r="AG66" s="47">
        <f t="shared" si="44"/>
        <v>2621.7868965517246</v>
      </c>
      <c r="AH66" s="53">
        <v>1464</v>
      </c>
      <c r="AI66" s="53">
        <v>863</v>
      </c>
      <c r="AJ66">
        <v>1184</v>
      </c>
      <c r="AK66">
        <v>1854</v>
      </c>
      <c r="AL66" s="56">
        <v>-1370</v>
      </c>
      <c r="AM66" s="56">
        <v>-242.91</v>
      </c>
      <c r="AN66" s="53">
        <v>-6432</v>
      </c>
      <c r="AO66" s="53">
        <v>-6432</v>
      </c>
      <c r="AP66" s="53">
        <f t="shared" si="17"/>
        <v>-7802</v>
      </c>
      <c r="AQ66" s="53">
        <f t="shared" si="17"/>
        <v>-6674.91</v>
      </c>
      <c r="AR66" s="47">
        <v>-1330</v>
      </c>
      <c r="AS66" s="47">
        <v>-1330</v>
      </c>
      <c r="AT66" s="53">
        <f t="shared" si="18"/>
        <v>-7762</v>
      </c>
      <c r="AU66" s="53">
        <f t="shared" si="18"/>
        <v>-7762</v>
      </c>
      <c r="BA66" s="53"/>
    </row>
    <row r="67" spans="1:53" x14ac:dyDescent="0.25">
      <c r="A67" s="45" t="str">
        <f t="shared" si="23"/>
        <v>Pier4</v>
      </c>
      <c r="B67" s="45" t="str">
        <f t="shared" si="24"/>
        <v>East Web</v>
      </c>
      <c r="C67" t="s">
        <v>29</v>
      </c>
      <c r="D67" s="53" t="str">
        <f t="shared" si="9"/>
        <v>Pier4East WebT12</v>
      </c>
      <c r="E67" s="56">
        <f t="shared" si="10"/>
        <v>-5062</v>
      </c>
      <c r="F67" s="56">
        <f t="shared" si="10"/>
        <v>-6114.91</v>
      </c>
      <c r="G67" s="46">
        <f t="shared" si="11"/>
        <v>8250</v>
      </c>
      <c r="H67" s="53">
        <v>6000</v>
      </c>
      <c r="I67" s="54">
        <f t="shared" si="46"/>
        <v>5</v>
      </c>
      <c r="J67" s="54">
        <f t="shared" si="45"/>
        <v>5</v>
      </c>
      <c r="K67" s="46">
        <f t="shared" si="12"/>
        <v>30750</v>
      </c>
      <c r="L67" s="46">
        <f t="shared" si="13"/>
        <v>28500</v>
      </c>
      <c r="M67">
        <v>2</v>
      </c>
      <c r="N67" s="53">
        <v>2</v>
      </c>
      <c r="O67">
        <v>2</v>
      </c>
      <c r="P67" s="53">
        <v>2</v>
      </c>
      <c r="Q67">
        <v>-2530</v>
      </c>
      <c r="R67">
        <v>669</v>
      </c>
      <c r="S67">
        <v>-1800</v>
      </c>
      <c r="T67">
        <v>1567</v>
      </c>
      <c r="U67" s="47">
        <f t="shared" si="14"/>
        <v>-5090</v>
      </c>
      <c r="V67" s="47">
        <f t="shared" si="14"/>
        <v>-5103</v>
      </c>
      <c r="W67" s="53">
        <f t="shared" si="36"/>
        <v>1444938</v>
      </c>
      <c r="X67" s="71">
        <f t="shared" si="37"/>
        <v>14659.779655172413</v>
      </c>
      <c r="Y67" s="71">
        <f t="shared" si="38"/>
        <v>15389.779655172413</v>
      </c>
      <c r="Z67" s="47">
        <f t="shared" si="29"/>
        <v>15616.63448275862</v>
      </c>
      <c r="AA67" s="57">
        <f t="shared" si="30"/>
        <v>16514.634482758622</v>
      </c>
      <c r="AB67" s="56">
        <f t="shared" si="39"/>
        <v>30642.650689655169</v>
      </c>
      <c r="AC67" s="57">
        <f t="shared" si="40"/>
        <v>28400.505517241378</v>
      </c>
      <c r="AD67" s="47">
        <f t="shared" si="41"/>
        <v>2653.2903448275865</v>
      </c>
      <c r="AE67" s="67">
        <f t="shared" si="42"/>
        <v>3321.2903448275865</v>
      </c>
      <c r="AF67" s="47">
        <f t="shared" si="43"/>
        <v>4219.2903448275865</v>
      </c>
      <c r="AG67" s="47">
        <f t="shared" si="44"/>
        <v>3717.2903448275865</v>
      </c>
      <c r="AH67" s="53">
        <v>1831</v>
      </c>
      <c r="AI67" s="53">
        <v>1163</v>
      </c>
      <c r="AJ67">
        <v>265</v>
      </c>
      <c r="AK67">
        <v>767</v>
      </c>
      <c r="AL67" s="56">
        <v>1370</v>
      </c>
      <c r="AM67" s="56">
        <v>317.08999999999997</v>
      </c>
      <c r="AN67" s="53">
        <v>-6432</v>
      </c>
      <c r="AO67" s="53">
        <v>-6432</v>
      </c>
      <c r="AP67" s="53">
        <f t="shared" si="17"/>
        <v>-5062</v>
      </c>
      <c r="AQ67" s="53">
        <f t="shared" si="17"/>
        <v>-6114.91</v>
      </c>
      <c r="AR67" s="47">
        <v>1342</v>
      </c>
      <c r="AS67" s="47">
        <v>1329</v>
      </c>
      <c r="AT67" s="53">
        <f t="shared" si="18"/>
        <v>-5090</v>
      </c>
      <c r="AU67" s="53">
        <f t="shared" si="18"/>
        <v>-5103</v>
      </c>
      <c r="BA67" s="53"/>
    </row>
    <row r="68" spans="1:53" x14ac:dyDescent="0.25">
      <c r="A68" s="45" t="str">
        <f t="shared" si="23"/>
        <v>Pier4</v>
      </c>
      <c r="B68" s="45" t="str">
        <f t="shared" si="24"/>
        <v>East Web</v>
      </c>
      <c r="C68" t="s">
        <v>30</v>
      </c>
      <c r="D68" s="53" t="str">
        <f t="shared" si="9"/>
        <v>Pier4East WebT13</v>
      </c>
      <c r="E68" s="56">
        <f t="shared" si="10"/>
        <v>-8002</v>
      </c>
      <c r="F68" s="56">
        <f t="shared" si="10"/>
        <v>-6674.91</v>
      </c>
      <c r="G68" s="46">
        <f t="shared" si="11"/>
        <v>8250</v>
      </c>
      <c r="H68" s="53">
        <v>6000</v>
      </c>
      <c r="I68" s="54">
        <f t="shared" si="46"/>
        <v>5</v>
      </c>
      <c r="J68" s="54">
        <f t="shared" si="45"/>
        <v>6</v>
      </c>
      <c r="K68" s="46">
        <f t="shared" si="12"/>
        <v>30750</v>
      </c>
      <c r="L68" s="46">
        <f t="shared" si="13"/>
        <v>33000</v>
      </c>
      <c r="M68">
        <v>2</v>
      </c>
      <c r="N68" s="53">
        <v>2</v>
      </c>
      <c r="O68">
        <v>3</v>
      </c>
      <c r="P68" s="53">
        <v>3</v>
      </c>
      <c r="Q68">
        <v>-1339</v>
      </c>
      <c r="R68">
        <v>-1342</v>
      </c>
      <c r="S68">
        <v>-472</v>
      </c>
      <c r="T68">
        <v>-475</v>
      </c>
      <c r="U68" s="47">
        <f t="shared" si="14"/>
        <v>-7963</v>
      </c>
      <c r="V68" s="47">
        <f t="shared" si="14"/>
        <v>-7963</v>
      </c>
      <c r="W68" s="53">
        <f t="shared" si="36"/>
        <v>1441998</v>
      </c>
      <c r="X68" s="71">
        <f t="shared" si="37"/>
        <v>15815.803793103449</v>
      </c>
      <c r="Y68" s="71">
        <f t="shared" si="38"/>
        <v>16682.803793103449</v>
      </c>
      <c r="Z68" s="47">
        <f t="shared" si="29"/>
        <v>18050.386896551725</v>
      </c>
      <c r="AA68" s="57">
        <f t="shared" si="30"/>
        <v>18917.386896551725</v>
      </c>
      <c r="AB68" s="56">
        <f t="shared" si="39"/>
        <v>30580.302413793106</v>
      </c>
      <c r="AC68" s="57">
        <f t="shared" si="40"/>
        <v>32817.885517241382</v>
      </c>
      <c r="AD68" s="47">
        <f t="shared" si="41"/>
        <v>3011.1662068965516</v>
      </c>
      <c r="AE68" s="67">
        <f t="shared" si="42"/>
        <v>3612.1662068965516</v>
      </c>
      <c r="AF68" s="47">
        <f t="shared" si="43"/>
        <v>3291.1662068965516</v>
      </c>
      <c r="AG68" s="47">
        <f t="shared" si="44"/>
        <v>2621.1662068965516</v>
      </c>
      <c r="AH68" s="53">
        <v>1464</v>
      </c>
      <c r="AI68" s="53">
        <v>863</v>
      </c>
      <c r="AJ68">
        <v>1184</v>
      </c>
      <c r="AK68">
        <v>1854</v>
      </c>
      <c r="AL68" s="56">
        <v>-1570</v>
      </c>
      <c r="AM68" s="56">
        <v>-242.91</v>
      </c>
      <c r="AN68" s="53">
        <v>-6432</v>
      </c>
      <c r="AO68" s="53">
        <v>-6432</v>
      </c>
      <c r="AP68" s="53">
        <f t="shared" si="17"/>
        <v>-8002</v>
      </c>
      <c r="AQ68" s="53">
        <f t="shared" si="17"/>
        <v>-6674.91</v>
      </c>
      <c r="AR68" s="47">
        <v>-1531</v>
      </c>
      <c r="AS68" s="47">
        <v>-1531</v>
      </c>
      <c r="AT68" s="53">
        <f t="shared" si="18"/>
        <v>-7963</v>
      </c>
      <c r="AU68" s="53">
        <f t="shared" si="18"/>
        <v>-7963</v>
      </c>
      <c r="BA68" s="53"/>
    </row>
    <row r="69" spans="1:53" x14ac:dyDescent="0.25">
      <c r="A69" s="45" t="str">
        <f t="shared" si="23"/>
        <v>Pier4</v>
      </c>
      <c r="B69" s="45" t="str">
        <f t="shared" si="24"/>
        <v>East Web</v>
      </c>
      <c r="C69" t="s">
        <v>31</v>
      </c>
      <c r="D69" s="53" t="str">
        <f t="shared" si="9"/>
        <v>Pier4East WebT14</v>
      </c>
      <c r="E69" s="56">
        <f t="shared" si="10"/>
        <v>-4862</v>
      </c>
      <c r="F69" s="56">
        <f t="shared" si="10"/>
        <v>-6114.91</v>
      </c>
      <c r="G69" s="46">
        <f t="shared" si="11"/>
        <v>8250</v>
      </c>
      <c r="H69" s="53">
        <v>6000</v>
      </c>
      <c r="I69" s="54">
        <f t="shared" si="46"/>
        <v>6</v>
      </c>
      <c r="J69" s="54">
        <f t="shared" si="45"/>
        <v>6</v>
      </c>
      <c r="K69" s="46">
        <f t="shared" si="12"/>
        <v>35250</v>
      </c>
      <c r="L69" s="46">
        <f t="shared" si="13"/>
        <v>33000</v>
      </c>
      <c r="M69">
        <v>2</v>
      </c>
      <c r="N69" s="53">
        <v>2</v>
      </c>
      <c r="O69">
        <v>3</v>
      </c>
      <c r="P69" s="53">
        <v>3</v>
      </c>
      <c r="Q69">
        <v>-758</v>
      </c>
      <c r="R69">
        <v>-1544</v>
      </c>
      <c r="S69">
        <v>-9</v>
      </c>
      <c r="T69">
        <v>-641</v>
      </c>
      <c r="U69" s="47">
        <f t="shared" si="14"/>
        <v>-4891</v>
      </c>
      <c r="V69" s="47">
        <f t="shared" si="14"/>
        <v>-4905</v>
      </c>
      <c r="W69" s="53">
        <f t="shared" si="36"/>
        <v>1445138</v>
      </c>
      <c r="X69" s="71">
        <f t="shared" si="37"/>
        <v>16434.158965517239</v>
      </c>
      <c r="Y69" s="71">
        <f t="shared" si="38"/>
        <v>17183.158965517239</v>
      </c>
      <c r="Z69" s="47">
        <f t="shared" si="29"/>
        <v>17890.614482758621</v>
      </c>
      <c r="AA69" s="57">
        <f t="shared" si="30"/>
        <v>18793.614482758621</v>
      </c>
      <c r="AB69" s="56">
        <f t="shared" si="39"/>
        <v>35131.803103448277</v>
      </c>
      <c r="AC69" s="57">
        <f t="shared" si="40"/>
        <v>32889.347586206895</v>
      </c>
      <c r="AD69" s="47">
        <f t="shared" si="41"/>
        <v>2653.9110344827586</v>
      </c>
      <c r="AE69" s="67">
        <f t="shared" si="42"/>
        <v>3321.9110344827586</v>
      </c>
      <c r="AF69" s="47">
        <f t="shared" si="43"/>
        <v>4219.9110344827586</v>
      </c>
      <c r="AG69" s="47">
        <f t="shared" si="44"/>
        <v>3717.9110344827586</v>
      </c>
      <c r="AH69" s="53">
        <v>1831</v>
      </c>
      <c r="AI69" s="53">
        <v>1163</v>
      </c>
      <c r="AJ69">
        <v>265</v>
      </c>
      <c r="AK69">
        <v>767</v>
      </c>
      <c r="AL69" s="56">
        <v>1570</v>
      </c>
      <c r="AM69" s="56">
        <v>317.08999999999997</v>
      </c>
      <c r="AN69" s="53">
        <v>-6432</v>
      </c>
      <c r="AO69" s="53">
        <v>-6432</v>
      </c>
      <c r="AP69" s="53">
        <f t="shared" si="17"/>
        <v>-4862</v>
      </c>
      <c r="AQ69" s="53">
        <f t="shared" si="17"/>
        <v>-6114.91</v>
      </c>
      <c r="AR69" s="47">
        <v>1541</v>
      </c>
      <c r="AS69" s="47">
        <v>1527</v>
      </c>
      <c r="AT69" s="53">
        <f t="shared" si="18"/>
        <v>-4891</v>
      </c>
      <c r="AU69" s="53">
        <f t="shared" si="18"/>
        <v>-4905</v>
      </c>
      <c r="BA69" s="53"/>
    </row>
    <row r="70" spans="1:53" x14ac:dyDescent="0.25">
      <c r="A70" s="45" t="str">
        <f t="shared" si="23"/>
        <v>Pier4</v>
      </c>
      <c r="B70" s="45" t="str">
        <f t="shared" si="24"/>
        <v>East Web</v>
      </c>
      <c r="C70" t="s">
        <v>32</v>
      </c>
      <c r="D70" s="53" t="str">
        <f t="shared" si="9"/>
        <v>Pier4East WebT15</v>
      </c>
      <c r="E70" s="56">
        <f t="shared" si="10"/>
        <v>-8202</v>
      </c>
      <c r="F70" s="56">
        <f t="shared" si="10"/>
        <v>-6674.91</v>
      </c>
      <c r="G70" s="46">
        <f t="shared" si="11"/>
        <v>8250</v>
      </c>
      <c r="H70" s="53">
        <v>6000</v>
      </c>
      <c r="I70" s="54">
        <f t="shared" si="46"/>
        <v>6</v>
      </c>
      <c r="J70" s="54">
        <f t="shared" si="45"/>
        <v>7</v>
      </c>
      <c r="K70" s="46">
        <f t="shared" si="12"/>
        <v>35250</v>
      </c>
      <c r="L70" s="46">
        <f t="shared" si="13"/>
        <v>37500</v>
      </c>
      <c r="M70">
        <v>2</v>
      </c>
      <c r="N70" s="53">
        <v>2</v>
      </c>
      <c r="O70">
        <v>3</v>
      </c>
      <c r="P70" s="53">
        <v>3</v>
      </c>
      <c r="Q70">
        <v>833</v>
      </c>
      <c r="R70">
        <v>830</v>
      </c>
      <c r="S70">
        <v>1684</v>
      </c>
      <c r="T70">
        <v>1680</v>
      </c>
      <c r="U70" s="47">
        <f t="shared" si="14"/>
        <v>-8164</v>
      </c>
      <c r="V70" s="47">
        <f t="shared" si="14"/>
        <v>-8164</v>
      </c>
      <c r="W70" s="53">
        <f t="shared" ref="W70:W80" si="47">Radius_at_L201+E70</f>
        <v>1441798</v>
      </c>
      <c r="X70" s="71">
        <f t="shared" ref="X70:X80" si="48">(G70+4500*M70)*(W70/Radius_at_L201)+Q70</f>
        <v>17985.424482758619</v>
      </c>
      <c r="Y70" s="71">
        <f t="shared" ref="Y70:Y80" si="49">(G70+4500*N70)*(W70/Radius_at_L201)+S70</f>
        <v>18836.424482758619</v>
      </c>
      <c r="Z70" s="47">
        <f t="shared" ref="Z70:Z80" si="50">(H70+4500*O70)*(W70/Radius_at_L201)+R70</f>
        <v>20219.697241379312</v>
      </c>
      <c r="AA70" s="57">
        <f t="shared" ref="AA70:AA80" si="51">(H70+4500*P70)*(W70/Radius_at_L201)+T70</f>
        <v>21069.697241379312</v>
      </c>
      <c r="AB70" s="56">
        <f t="shared" ref="AB70:AB80" si="52">K70*(W70/Radius_at_L201)</f>
        <v>35050.606551724137</v>
      </c>
      <c r="AC70" s="57">
        <f t="shared" ref="AC70:AC80" si="53">L70*(W70/Radius_at_L201)</f>
        <v>37287.879310344826</v>
      </c>
      <c r="AD70" s="47">
        <f t="shared" si="41"/>
        <v>3010.5455172413795</v>
      </c>
      <c r="AE70" s="67">
        <f t="shared" si="42"/>
        <v>3611.5455172413795</v>
      </c>
      <c r="AF70" s="47">
        <f t="shared" si="43"/>
        <v>3290.5455172413795</v>
      </c>
      <c r="AG70" s="47">
        <f t="shared" si="44"/>
        <v>2620.5455172413795</v>
      </c>
      <c r="AH70" s="53">
        <v>1464</v>
      </c>
      <c r="AI70" s="53">
        <v>863</v>
      </c>
      <c r="AJ70">
        <v>1184</v>
      </c>
      <c r="AK70">
        <v>1854</v>
      </c>
      <c r="AL70" s="56">
        <v>-1770</v>
      </c>
      <c r="AM70" s="56">
        <v>-242.91</v>
      </c>
      <c r="AN70" s="53">
        <v>-6432</v>
      </c>
      <c r="AO70" s="53">
        <v>-6432</v>
      </c>
      <c r="AP70" s="53">
        <f t="shared" si="17"/>
        <v>-8202</v>
      </c>
      <c r="AQ70" s="53">
        <f t="shared" si="17"/>
        <v>-6674.91</v>
      </c>
      <c r="AR70" s="47">
        <v>-1732</v>
      </c>
      <c r="AS70" s="47">
        <v>-1732</v>
      </c>
      <c r="AT70" s="53">
        <f t="shared" si="18"/>
        <v>-8164</v>
      </c>
      <c r="AU70" s="53">
        <f t="shared" si="18"/>
        <v>-8164</v>
      </c>
      <c r="BA70" s="53"/>
    </row>
    <row r="71" spans="1:53" x14ac:dyDescent="0.25">
      <c r="A71" s="45" t="str">
        <f t="shared" si="23"/>
        <v>Pier4</v>
      </c>
      <c r="B71" s="45" t="str">
        <f t="shared" si="24"/>
        <v>East Web</v>
      </c>
      <c r="C71" t="s">
        <v>33</v>
      </c>
      <c r="D71" s="53" t="str">
        <f t="shared" ref="D71:D80" si="54">A71&amp;B71&amp;C71</f>
        <v>Pier4East WebT16</v>
      </c>
      <c r="E71" s="56">
        <f t="shared" ref="E71:F80" si="55">AP71</f>
        <v>-4662</v>
      </c>
      <c r="F71" s="56">
        <f t="shared" si="55"/>
        <v>-6114.91</v>
      </c>
      <c r="G71" s="46">
        <f t="shared" ref="G71:G80" si="56">3750+4500</f>
        <v>8250</v>
      </c>
      <c r="H71" s="53">
        <v>6000</v>
      </c>
      <c r="I71" s="54">
        <f t="shared" si="46"/>
        <v>7</v>
      </c>
      <c r="J71" s="54">
        <f t="shared" si="45"/>
        <v>7</v>
      </c>
      <c r="K71" s="46">
        <f t="shared" ref="K71:K80" si="57">I71*4500+G71</f>
        <v>39750</v>
      </c>
      <c r="L71" s="46">
        <f t="shared" ref="L71:L80" si="58">J71*4500+H71</f>
        <v>37500</v>
      </c>
      <c r="M71">
        <v>2</v>
      </c>
      <c r="N71" s="53">
        <v>2</v>
      </c>
      <c r="O71">
        <v>3</v>
      </c>
      <c r="P71" s="53">
        <v>3</v>
      </c>
      <c r="Q71">
        <v>1081</v>
      </c>
      <c r="R71">
        <v>765</v>
      </c>
      <c r="S71">
        <v>1849</v>
      </c>
      <c r="T71">
        <v>1694</v>
      </c>
      <c r="U71" s="47">
        <f t="shared" ref="U71:V80" si="59">AT71</f>
        <v>-4693</v>
      </c>
      <c r="V71" s="47">
        <f t="shared" si="59"/>
        <v>-4706</v>
      </c>
      <c r="W71" s="53">
        <f t="shared" si="47"/>
        <v>1445338</v>
      </c>
      <c r="X71" s="71">
        <f t="shared" si="48"/>
        <v>18275.538275862069</v>
      </c>
      <c r="Y71" s="71">
        <f t="shared" si="49"/>
        <v>19043.538275862069</v>
      </c>
      <c r="Z71" s="47">
        <f t="shared" si="50"/>
        <v>20202.304137931034</v>
      </c>
      <c r="AA71" s="57">
        <f t="shared" si="51"/>
        <v>21131.304137931034</v>
      </c>
      <c r="AB71" s="56">
        <f t="shared" si="52"/>
        <v>39622.196896551723</v>
      </c>
      <c r="AC71" s="57">
        <f t="shared" si="53"/>
        <v>37379.431034482761</v>
      </c>
      <c r="AD71" s="47">
        <f t="shared" si="41"/>
        <v>2654.5317241379307</v>
      </c>
      <c r="AE71" s="67">
        <f t="shared" si="42"/>
        <v>3322.5317241379307</v>
      </c>
      <c r="AF71" s="47">
        <f t="shared" si="43"/>
        <v>4220.5317241379307</v>
      </c>
      <c r="AG71" s="47">
        <f t="shared" si="44"/>
        <v>3718.5317241379307</v>
      </c>
      <c r="AH71" s="53">
        <v>1831</v>
      </c>
      <c r="AI71" s="53">
        <v>1163</v>
      </c>
      <c r="AJ71">
        <v>265</v>
      </c>
      <c r="AK71">
        <v>767</v>
      </c>
      <c r="AL71" s="56">
        <v>1770</v>
      </c>
      <c r="AM71" s="56">
        <v>317.08999999999997</v>
      </c>
      <c r="AN71" s="53">
        <v>-6432</v>
      </c>
      <c r="AO71" s="53">
        <v>-6432</v>
      </c>
      <c r="AP71" s="53">
        <f t="shared" ref="AP71:AQ80" si="60">AL71+AN71</f>
        <v>-4662</v>
      </c>
      <c r="AQ71" s="53">
        <f t="shared" si="60"/>
        <v>-6114.91</v>
      </c>
      <c r="AR71" s="47">
        <v>1739</v>
      </c>
      <c r="AS71" s="47">
        <v>1726</v>
      </c>
      <c r="AT71" s="53">
        <f t="shared" ref="AT71:AU80" si="61">AR71+AN71</f>
        <v>-4693</v>
      </c>
      <c r="AU71" s="53">
        <f t="shared" si="61"/>
        <v>-4706</v>
      </c>
      <c r="BA71" s="53"/>
    </row>
    <row r="72" spans="1:53" x14ac:dyDescent="0.25">
      <c r="A72" s="45" t="str">
        <f t="shared" si="23"/>
        <v>Pier4</v>
      </c>
      <c r="B72" s="45" t="str">
        <f t="shared" si="24"/>
        <v>East Web</v>
      </c>
      <c r="C72" t="s">
        <v>34</v>
      </c>
      <c r="D72" s="53" t="str">
        <f t="shared" si="54"/>
        <v>Pier4East WebT17</v>
      </c>
      <c r="E72" s="56">
        <f t="shared" si="55"/>
        <v>-8402</v>
      </c>
      <c r="F72" s="56">
        <f t="shared" si="55"/>
        <v>-6674.91</v>
      </c>
      <c r="G72" s="46">
        <f t="shared" si="56"/>
        <v>8250</v>
      </c>
      <c r="H72" s="53">
        <v>6000</v>
      </c>
      <c r="I72" s="54">
        <f t="shared" si="46"/>
        <v>7</v>
      </c>
      <c r="J72" s="54">
        <f t="shared" si="45"/>
        <v>8</v>
      </c>
      <c r="K72" s="46">
        <f t="shared" si="57"/>
        <v>39750</v>
      </c>
      <c r="L72" s="46">
        <f t="shared" si="58"/>
        <v>42000</v>
      </c>
      <c r="M72">
        <v>3</v>
      </c>
      <c r="N72" s="53">
        <v>3</v>
      </c>
      <c r="O72">
        <v>4</v>
      </c>
      <c r="P72" s="53">
        <v>4</v>
      </c>
      <c r="Q72">
        <v>-1514</v>
      </c>
      <c r="R72">
        <v>-1518</v>
      </c>
      <c r="S72">
        <v>-680</v>
      </c>
      <c r="T72">
        <v>-684</v>
      </c>
      <c r="U72" s="47">
        <f t="shared" si="59"/>
        <v>-8365</v>
      </c>
      <c r="V72" s="47">
        <f t="shared" si="59"/>
        <v>-8365</v>
      </c>
      <c r="W72" s="53">
        <f t="shared" si="47"/>
        <v>1441598</v>
      </c>
      <c r="X72" s="71">
        <f t="shared" si="48"/>
        <v>20109.97</v>
      </c>
      <c r="Y72" s="71">
        <f t="shared" si="49"/>
        <v>20943.97</v>
      </c>
      <c r="Z72" s="47">
        <f t="shared" si="50"/>
        <v>22342.932413793103</v>
      </c>
      <c r="AA72" s="57">
        <f t="shared" si="51"/>
        <v>23176.932413793103</v>
      </c>
      <c r="AB72" s="56">
        <f t="shared" si="52"/>
        <v>39519.669310344827</v>
      </c>
      <c r="AC72" s="57">
        <f t="shared" si="53"/>
        <v>41756.631724137929</v>
      </c>
      <c r="AD72" s="47">
        <f t="shared" si="41"/>
        <v>3009.9248275862064</v>
      </c>
      <c r="AE72" s="67">
        <f t="shared" si="42"/>
        <v>3610.9248275862064</v>
      </c>
      <c r="AF72" s="47">
        <f t="shared" si="43"/>
        <v>3289.9248275862064</v>
      </c>
      <c r="AG72" s="47">
        <f t="shared" si="44"/>
        <v>2619.9248275862064</v>
      </c>
      <c r="AH72" s="53">
        <v>1464</v>
      </c>
      <c r="AI72" s="53">
        <v>863</v>
      </c>
      <c r="AJ72">
        <v>1184</v>
      </c>
      <c r="AK72">
        <v>1854</v>
      </c>
      <c r="AL72" s="56">
        <v>-1970</v>
      </c>
      <c r="AM72" s="56">
        <v>-242.91</v>
      </c>
      <c r="AN72" s="53">
        <v>-6432</v>
      </c>
      <c r="AO72" s="53">
        <v>-6432</v>
      </c>
      <c r="AP72" s="53">
        <f t="shared" si="60"/>
        <v>-8402</v>
      </c>
      <c r="AQ72" s="53">
        <f t="shared" si="60"/>
        <v>-6674.91</v>
      </c>
      <c r="AR72" s="47">
        <v>-1933</v>
      </c>
      <c r="AS72" s="47">
        <v>-1933</v>
      </c>
      <c r="AT72" s="53">
        <f t="shared" si="61"/>
        <v>-8365</v>
      </c>
      <c r="AU72" s="53">
        <f t="shared" si="61"/>
        <v>-8365</v>
      </c>
      <c r="BA72" s="53"/>
    </row>
    <row r="73" spans="1:53" x14ac:dyDescent="0.25">
      <c r="A73" s="45" t="str">
        <f t="shared" ref="A73:A80" si="62">A72</f>
        <v>Pier4</v>
      </c>
      <c r="B73" s="45" t="str">
        <f t="shared" ref="B73:B80" si="63">B72</f>
        <v>East Web</v>
      </c>
      <c r="C73" t="s">
        <v>35</v>
      </c>
      <c r="D73" s="53" t="str">
        <f t="shared" si="54"/>
        <v>Pier4East WebT18</v>
      </c>
      <c r="E73" s="56">
        <f t="shared" si="55"/>
        <v>-4462</v>
      </c>
      <c r="F73" s="56">
        <f t="shared" si="55"/>
        <v>-6114.91</v>
      </c>
      <c r="G73" s="46">
        <f t="shared" si="56"/>
        <v>8250</v>
      </c>
      <c r="H73" s="53">
        <v>6000</v>
      </c>
      <c r="I73" s="54">
        <f t="shared" si="46"/>
        <v>8</v>
      </c>
      <c r="J73" s="54">
        <f t="shared" si="45"/>
        <v>8</v>
      </c>
      <c r="K73" s="46">
        <f t="shared" si="57"/>
        <v>44250</v>
      </c>
      <c r="L73" s="46">
        <f t="shared" si="58"/>
        <v>42000</v>
      </c>
      <c r="M73">
        <v>3</v>
      </c>
      <c r="N73" s="53">
        <v>3</v>
      </c>
      <c r="O73">
        <v>4</v>
      </c>
      <c r="P73" s="53">
        <v>4</v>
      </c>
      <c r="Q73">
        <v>-1502</v>
      </c>
      <c r="R73">
        <v>-1376</v>
      </c>
      <c r="S73">
        <v>-717</v>
      </c>
      <c r="T73">
        <v>-433</v>
      </c>
      <c r="U73" s="47">
        <f t="shared" si="59"/>
        <v>-4494</v>
      </c>
      <c r="V73" s="47">
        <f t="shared" si="59"/>
        <v>-4508</v>
      </c>
      <c r="W73" s="53">
        <f t="shared" si="47"/>
        <v>1445538</v>
      </c>
      <c r="X73" s="71">
        <f t="shared" si="48"/>
        <v>20181.07</v>
      </c>
      <c r="Y73" s="71">
        <f t="shared" si="49"/>
        <v>20966.07</v>
      </c>
      <c r="Z73" s="47">
        <f t="shared" si="50"/>
        <v>22550.146206896552</v>
      </c>
      <c r="AA73" s="57">
        <f t="shared" si="51"/>
        <v>23493.146206896552</v>
      </c>
      <c r="AB73" s="56">
        <f t="shared" si="52"/>
        <v>44113.832068965516</v>
      </c>
      <c r="AC73" s="57">
        <f t="shared" si="53"/>
        <v>41870.755862068967</v>
      </c>
      <c r="AD73" s="47">
        <f t="shared" si="41"/>
        <v>2655.1524137931037</v>
      </c>
      <c r="AE73" s="67">
        <f t="shared" si="42"/>
        <v>3323.1524137931037</v>
      </c>
      <c r="AF73" s="47">
        <f t="shared" si="43"/>
        <v>4221.1524137931037</v>
      </c>
      <c r="AG73" s="47">
        <f t="shared" si="44"/>
        <v>3719.1524137931037</v>
      </c>
      <c r="AH73" s="53">
        <v>1831</v>
      </c>
      <c r="AI73" s="53">
        <v>1163</v>
      </c>
      <c r="AJ73">
        <v>265</v>
      </c>
      <c r="AK73">
        <v>767</v>
      </c>
      <c r="AL73" s="56">
        <v>1970</v>
      </c>
      <c r="AM73" s="56">
        <v>317.08999999999997</v>
      </c>
      <c r="AN73" s="53">
        <v>-6432</v>
      </c>
      <c r="AO73" s="53">
        <v>-6432</v>
      </c>
      <c r="AP73" s="53">
        <f t="shared" si="60"/>
        <v>-4462</v>
      </c>
      <c r="AQ73" s="53">
        <f t="shared" si="60"/>
        <v>-6114.91</v>
      </c>
      <c r="AR73" s="47">
        <v>1938</v>
      </c>
      <c r="AS73" s="47">
        <v>1924</v>
      </c>
      <c r="AT73" s="53">
        <f t="shared" si="61"/>
        <v>-4494</v>
      </c>
      <c r="AU73" s="53">
        <f t="shared" si="61"/>
        <v>-4508</v>
      </c>
      <c r="BA73" s="53"/>
    </row>
    <row r="74" spans="1:53" x14ac:dyDescent="0.25">
      <c r="A74" s="45" t="str">
        <f t="shared" si="62"/>
        <v>Pier4</v>
      </c>
      <c r="B74" s="45" t="str">
        <f t="shared" si="63"/>
        <v>East Web</v>
      </c>
      <c r="C74" t="s">
        <v>36</v>
      </c>
      <c r="D74" s="53" t="str">
        <f t="shared" si="54"/>
        <v>Pier4East WebT19</v>
      </c>
      <c r="E74" s="56">
        <f t="shared" si="55"/>
        <v>-8602</v>
      </c>
      <c r="F74" s="56">
        <f t="shared" si="55"/>
        <v>-6674.91</v>
      </c>
      <c r="G74" s="46">
        <f t="shared" si="56"/>
        <v>8250</v>
      </c>
      <c r="H74" s="53">
        <v>6000</v>
      </c>
      <c r="I74" s="54">
        <f t="shared" si="46"/>
        <v>8</v>
      </c>
      <c r="J74" s="54">
        <f t="shared" si="45"/>
        <v>9</v>
      </c>
      <c r="K74" s="46">
        <f t="shared" si="57"/>
        <v>44250</v>
      </c>
      <c r="L74" s="46">
        <f t="shared" si="58"/>
        <v>46500</v>
      </c>
      <c r="M74">
        <v>3</v>
      </c>
      <c r="N74" s="53">
        <v>3</v>
      </c>
      <c r="O74">
        <v>4</v>
      </c>
      <c r="P74" s="53">
        <v>4</v>
      </c>
      <c r="Q74">
        <v>565</v>
      </c>
      <c r="R74">
        <v>561</v>
      </c>
      <c r="S74">
        <v>1383</v>
      </c>
      <c r="T74">
        <v>1379</v>
      </c>
      <c r="U74" s="47">
        <f t="shared" si="59"/>
        <v>-8567</v>
      </c>
      <c r="V74" s="47">
        <f t="shared" si="59"/>
        <v>-8567</v>
      </c>
      <c r="W74" s="53">
        <f t="shared" si="47"/>
        <v>1441398</v>
      </c>
      <c r="X74" s="71">
        <f t="shared" si="48"/>
        <v>22185.969999999998</v>
      </c>
      <c r="Y74" s="71">
        <f t="shared" si="49"/>
        <v>23003.969999999998</v>
      </c>
      <c r="Z74" s="47">
        <f t="shared" si="50"/>
        <v>24418.622068965517</v>
      </c>
      <c r="AA74" s="57">
        <f t="shared" si="51"/>
        <v>25236.622068965517</v>
      </c>
      <c r="AB74" s="56">
        <f t="shared" si="52"/>
        <v>43987.490689655169</v>
      </c>
      <c r="AC74" s="57">
        <f t="shared" si="53"/>
        <v>46224.142758620685</v>
      </c>
      <c r="AD74" s="47">
        <f t="shared" si="41"/>
        <v>3009.3041379310343</v>
      </c>
      <c r="AE74" s="67">
        <f t="shared" si="42"/>
        <v>3610.3041379310343</v>
      </c>
      <c r="AF74" s="47">
        <f t="shared" si="43"/>
        <v>3289.3041379310343</v>
      </c>
      <c r="AG74" s="47">
        <f t="shared" si="44"/>
        <v>2619.3041379310343</v>
      </c>
      <c r="AH74" s="53">
        <v>1464</v>
      </c>
      <c r="AI74" s="53">
        <v>863</v>
      </c>
      <c r="AJ74">
        <v>1184</v>
      </c>
      <c r="AK74">
        <v>1854</v>
      </c>
      <c r="AL74" s="56">
        <v>-2170</v>
      </c>
      <c r="AM74" s="56">
        <v>-242.91</v>
      </c>
      <c r="AN74" s="53">
        <v>-6432</v>
      </c>
      <c r="AO74" s="53">
        <v>-6432</v>
      </c>
      <c r="AP74" s="53">
        <f t="shared" si="60"/>
        <v>-8602</v>
      </c>
      <c r="AQ74" s="53">
        <f t="shared" si="60"/>
        <v>-6674.91</v>
      </c>
      <c r="AR74" s="47">
        <v>-2135</v>
      </c>
      <c r="AS74" s="47">
        <v>-2135</v>
      </c>
      <c r="AT74" s="53">
        <f t="shared" si="61"/>
        <v>-8567</v>
      </c>
      <c r="AU74" s="53">
        <f t="shared" si="61"/>
        <v>-8567</v>
      </c>
      <c r="BA74" s="53"/>
    </row>
    <row r="75" spans="1:53" x14ac:dyDescent="0.25">
      <c r="A75" s="45" t="str">
        <f t="shared" si="62"/>
        <v>Pier4</v>
      </c>
      <c r="B75" s="45" t="str">
        <f t="shared" si="63"/>
        <v>East Web</v>
      </c>
      <c r="C75" t="s">
        <v>37</v>
      </c>
      <c r="D75" s="53" t="str">
        <f t="shared" si="54"/>
        <v>Pier4East WebT20</v>
      </c>
      <c r="E75" s="56">
        <f t="shared" si="55"/>
        <v>-4262</v>
      </c>
      <c r="F75" s="56">
        <f t="shared" si="55"/>
        <v>-6114.91</v>
      </c>
      <c r="G75" s="46">
        <f t="shared" si="56"/>
        <v>8250</v>
      </c>
      <c r="H75" s="53">
        <v>6000</v>
      </c>
      <c r="I75" s="54">
        <f t="shared" si="46"/>
        <v>9</v>
      </c>
      <c r="J75" s="54">
        <f t="shared" si="45"/>
        <v>9</v>
      </c>
      <c r="K75" s="46">
        <f t="shared" si="57"/>
        <v>48750</v>
      </c>
      <c r="L75" s="46">
        <f t="shared" si="58"/>
        <v>46500</v>
      </c>
      <c r="M75">
        <v>3</v>
      </c>
      <c r="N75" s="53">
        <v>3</v>
      </c>
      <c r="O75">
        <v>4</v>
      </c>
      <c r="P75" s="53">
        <v>4</v>
      </c>
      <c r="Q75">
        <v>458</v>
      </c>
      <c r="R75">
        <v>1003</v>
      </c>
      <c r="S75">
        <v>1261</v>
      </c>
      <c r="T75">
        <v>1960</v>
      </c>
      <c r="U75" s="47">
        <f t="shared" si="59"/>
        <v>-4296</v>
      </c>
      <c r="V75" s="47">
        <f t="shared" si="59"/>
        <v>-4309</v>
      </c>
      <c r="W75" s="53">
        <f t="shared" si="47"/>
        <v>1445738</v>
      </c>
      <c r="X75" s="71">
        <f t="shared" si="48"/>
        <v>22144.07</v>
      </c>
      <c r="Y75" s="71">
        <f t="shared" si="49"/>
        <v>22947.07</v>
      </c>
      <c r="Z75" s="47">
        <f t="shared" si="50"/>
        <v>24932.456551724135</v>
      </c>
      <c r="AA75" s="57">
        <f t="shared" si="51"/>
        <v>25889.456551724135</v>
      </c>
      <c r="AB75" s="56">
        <f t="shared" si="52"/>
        <v>48606.708620689649</v>
      </c>
      <c r="AC75" s="57">
        <f t="shared" si="53"/>
        <v>46363.322068965514</v>
      </c>
      <c r="AD75" s="47">
        <f t="shared" si="41"/>
        <v>2655.7731034482758</v>
      </c>
      <c r="AE75" s="67">
        <f t="shared" si="42"/>
        <v>3323.7731034482758</v>
      </c>
      <c r="AF75" s="47">
        <f t="shared" si="43"/>
        <v>4221.7731034482758</v>
      </c>
      <c r="AG75" s="47">
        <f t="shared" si="44"/>
        <v>3719.7731034482758</v>
      </c>
      <c r="AH75" s="53">
        <v>1831</v>
      </c>
      <c r="AI75" s="53">
        <v>1163</v>
      </c>
      <c r="AJ75">
        <v>265</v>
      </c>
      <c r="AK75">
        <v>767</v>
      </c>
      <c r="AL75" s="56">
        <v>2170</v>
      </c>
      <c r="AM75" s="56">
        <v>317.08999999999997</v>
      </c>
      <c r="AN75" s="53">
        <v>-6432</v>
      </c>
      <c r="AO75" s="53">
        <v>-6432</v>
      </c>
      <c r="AP75" s="53">
        <f t="shared" si="60"/>
        <v>-4262</v>
      </c>
      <c r="AQ75" s="53">
        <f t="shared" si="60"/>
        <v>-6114.91</v>
      </c>
      <c r="AR75" s="47">
        <v>2136</v>
      </c>
      <c r="AS75" s="47">
        <v>2123</v>
      </c>
      <c r="AT75" s="53">
        <f t="shared" si="61"/>
        <v>-4296</v>
      </c>
      <c r="AU75" s="53">
        <f t="shared" si="61"/>
        <v>-4309</v>
      </c>
      <c r="BA75" s="53"/>
    </row>
    <row r="76" spans="1:53" x14ac:dyDescent="0.25">
      <c r="A76" s="45" t="str">
        <f t="shared" si="62"/>
        <v>Pier4</v>
      </c>
      <c r="B76" s="45" t="str">
        <f t="shared" si="63"/>
        <v>East Web</v>
      </c>
      <c r="C76" t="s">
        <v>38</v>
      </c>
      <c r="D76" s="53" t="str">
        <f t="shared" si="54"/>
        <v>Pier4East WebT21</v>
      </c>
      <c r="E76" s="56">
        <f t="shared" si="55"/>
        <v>-8802</v>
      </c>
      <c r="F76" s="56">
        <f t="shared" si="55"/>
        <v>-6674.91</v>
      </c>
      <c r="G76" s="46">
        <f t="shared" si="56"/>
        <v>8250</v>
      </c>
      <c r="H76" s="53">
        <v>6000</v>
      </c>
      <c r="I76" s="54">
        <f t="shared" si="46"/>
        <v>9</v>
      </c>
      <c r="J76" s="54">
        <f t="shared" si="45"/>
        <v>10</v>
      </c>
      <c r="K76" s="46">
        <f t="shared" si="57"/>
        <v>48750</v>
      </c>
      <c r="L76" s="46">
        <f t="shared" si="58"/>
        <v>51000</v>
      </c>
      <c r="M76">
        <v>4</v>
      </c>
      <c r="N76" s="53">
        <v>4</v>
      </c>
      <c r="O76">
        <v>5</v>
      </c>
      <c r="P76" s="53">
        <v>5</v>
      </c>
      <c r="Q76">
        <v>-1879</v>
      </c>
      <c r="R76">
        <v>-1883</v>
      </c>
      <c r="S76">
        <v>-1078</v>
      </c>
      <c r="T76">
        <v>-1083</v>
      </c>
      <c r="U76" s="47">
        <f t="shared" si="59"/>
        <v>-8768</v>
      </c>
      <c r="V76" s="47">
        <f t="shared" si="59"/>
        <v>-8768</v>
      </c>
      <c r="W76" s="53">
        <f t="shared" si="47"/>
        <v>1441198</v>
      </c>
      <c r="X76" s="71">
        <f t="shared" si="48"/>
        <v>24211.653448275862</v>
      </c>
      <c r="Y76" s="71">
        <f t="shared" si="49"/>
        <v>25012.653448275862</v>
      </c>
      <c r="Z76" s="47">
        <f t="shared" si="50"/>
        <v>26443.995172413794</v>
      </c>
      <c r="AA76" s="57">
        <f t="shared" si="51"/>
        <v>27243.995172413794</v>
      </c>
      <c r="AB76" s="56">
        <f t="shared" si="52"/>
        <v>48454.070689655171</v>
      </c>
      <c r="AC76" s="57">
        <f t="shared" si="53"/>
        <v>50690.412413793107</v>
      </c>
      <c r="AD76" s="47">
        <f t="shared" si="41"/>
        <v>3008.6834482758622</v>
      </c>
      <c r="AE76" s="67">
        <f t="shared" si="42"/>
        <v>3609.6834482758622</v>
      </c>
      <c r="AF76" s="47">
        <f t="shared" si="43"/>
        <v>3288.6834482758622</v>
      </c>
      <c r="AG76" s="47">
        <f t="shared" si="44"/>
        <v>2618.6834482758622</v>
      </c>
      <c r="AH76" s="53">
        <v>1464</v>
      </c>
      <c r="AI76" s="53">
        <v>863</v>
      </c>
      <c r="AJ76">
        <v>1184</v>
      </c>
      <c r="AK76">
        <v>1854</v>
      </c>
      <c r="AL76" s="56">
        <v>-2370</v>
      </c>
      <c r="AM76" s="56">
        <v>-242.91</v>
      </c>
      <c r="AN76" s="53">
        <v>-6432</v>
      </c>
      <c r="AO76" s="53">
        <v>-6432</v>
      </c>
      <c r="AP76" s="53">
        <f t="shared" si="60"/>
        <v>-8802</v>
      </c>
      <c r="AQ76" s="53">
        <f t="shared" si="60"/>
        <v>-6674.91</v>
      </c>
      <c r="AR76" s="47">
        <v>-2336</v>
      </c>
      <c r="AS76" s="47">
        <v>-2336</v>
      </c>
      <c r="AT76" s="53">
        <f t="shared" si="61"/>
        <v>-8768</v>
      </c>
      <c r="AU76" s="53">
        <f t="shared" si="61"/>
        <v>-8768</v>
      </c>
      <c r="BA76" s="53"/>
    </row>
    <row r="77" spans="1:53" x14ac:dyDescent="0.25">
      <c r="A77" s="45" t="str">
        <f t="shared" si="62"/>
        <v>Pier4</v>
      </c>
      <c r="B77" s="45" t="str">
        <f t="shared" si="63"/>
        <v>East Web</v>
      </c>
      <c r="C77" t="s">
        <v>39</v>
      </c>
      <c r="D77" s="53" t="str">
        <f t="shared" si="54"/>
        <v>Pier4East WebT22</v>
      </c>
      <c r="E77" s="56">
        <f t="shared" si="55"/>
        <v>-4062</v>
      </c>
      <c r="F77" s="56">
        <f t="shared" si="55"/>
        <v>-6114.91</v>
      </c>
      <c r="G77" s="46">
        <f t="shared" si="56"/>
        <v>8250</v>
      </c>
      <c r="H77" s="53">
        <v>6000</v>
      </c>
      <c r="I77" s="54">
        <f t="shared" si="46"/>
        <v>10</v>
      </c>
      <c r="J77" s="54">
        <f t="shared" si="45"/>
        <v>10</v>
      </c>
      <c r="K77" s="46">
        <f t="shared" si="57"/>
        <v>53250</v>
      </c>
      <c r="L77" s="46">
        <f t="shared" si="58"/>
        <v>51000</v>
      </c>
      <c r="M77">
        <v>4</v>
      </c>
      <c r="N77" s="53">
        <v>4</v>
      </c>
      <c r="O77">
        <v>5</v>
      </c>
      <c r="P77" s="53">
        <v>5</v>
      </c>
      <c r="Q77">
        <v>-2014</v>
      </c>
      <c r="R77">
        <v>-1074</v>
      </c>
      <c r="S77">
        <v>-1194</v>
      </c>
      <c r="T77">
        <v>-102</v>
      </c>
      <c r="U77" s="47">
        <f t="shared" si="59"/>
        <v>-4097</v>
      </c>
      <c r="V77" s="47">
        <f t="shared" si="59"/>
        <v>-4111</v>
      </c>
      <c r="W77" s="53">
        <f t="shared" si="47"/>
        <v>1445938</v>
      </c>
      <c r="X77" s="71">
        <f t="shared" si="48"/>
        <v>24162.463793103449</v>
      </c>
      <c r="Y77" s="71">
        <f t="shared" si="49"/>
        <v>24982.463793103449</v>
      </c>
      <c r="Z77" s="47">
        <f t="shared" si="50"/>
        <v>27346.160689655171</v>
      </c>
      <c r="AA77" s="57">
        <f t="shared" si="51"/>
        <v>28318.160689655171</v>
      </c>
      <c r="AB77" s="56">
        <f t="shared" si="52"/>
        <v>53100.826551724138</v>
      </c>
      <c r="AC77" s="57">
        <f t="shared" si="53"/>
        <v>50857.129655172415</v>
      </c>
      <c r="AD77" s="47">
        <f t="shared" si="41"/>
        <v>2656.3937931034479</v>
      </c>
      <c r="AE77" s="67">
        <f t="shared" si="42"/>
        <v>3324.3937931034479</v>
      </c>
      <c r="AF77" s="47">
        <f t="shared" si="43"/>
        <v>4222.3937931034479</v>
      </c>
      <c r="AG77" s="47">
        <f t="shared" si="44"/>
        <v>3720.3937931034479</v>
      </c>
      <c r="AH77" s="53">
        <v>1831</v>
      </c>
      <c r="AI77" s="53">
        <v>1163</v>
      </c>
      <c r="AJ77">
        <v>265</v>
      </c>
      <c r="AK77">
        <v>767</v>
      </c>
      <c r="AL77" s="56">
        <v>2370</v>
      </c>
      <c r="AM77" s="56">
        <v>317.08999999999997</v>
      </c>
      <c r="AN77" s="53">
        <v>-6432</v>
      </c>
      <c r="AO77" s="53">
        <v>-6432</v>
      </c>
      <c r="AP77" s="53">
        <f t="shared" si="60"/>
        <v>-4062</v>
      </c>
      <c r="AQ77" s="53">
        <f t="shared" si="60"/>
        <v>-6114.91</v>
      </c>
      <c r="AR77" s="47">
        <v>2335</v>
      </c>
      <c r="AS77" s="47">
        <v>2321</v>
      </c>
      <c r="AT77" s="53">
        <f t="shared" si="61"/>
        <v>-4097</v>
      </c>
      <c r="AU77" s="53">
        <f t="shared" si="61"/>
        <v>-4111</v>
      </c>
      <c r="BA77" s="53"/>
    </row>
    <row r="78" spans="1:53" x14ac:dyDescent="0.25">
      <c r="A78" s="45" t="str">
        <f t="shared" si="62"/>
        <v>Pier4</v>
      </c>
      <c r="B78" s="45" t="str">
        <f t="shared" si="63"/>
        <v>East Web</v>
      </c>
      <c r="C78" t="s">
        <v>40</v>
      </c>
      <c r="D78" s="53" t="str">
        <f t="shared" si="54"/>
        <v>Pier4East WebT23</v>
      </c>
      <c r="E78" s="56">
        <f t="shared" si="55"/>
        <v>-9002</v>
      </c>
      <c r="F78" s="56">
        <f t="shared" si="55"/>
        <v>-6674.91</v>
      </c>
      <c r="G78" s="46">
        <f t="shared" si="56"/>
        <v>8250</v>
      </c>
      <c r="H78" s="53">
        <v>6000</v>
      </c>
      <c r="I78" s="54">
        <f t="shared" si="46"/>
        <v>10</v>
      </c>
      <c r="J78" s="54">
        <f t="shared" si="45"/>
        <v>11</v>
      </c>
      <c r="K78" s="46">
        <f t="shared" si="57"/>
        <v>53250</v>
      </c>
      <c r="L78" s="46">
        <f t="shared" si="58"/>
        <v>55500</v>
      </c>
      <c r="M78">
        <v>4</v>
      </c>
      <c r="N78" s="53">
        <v>4</v>
      </c>
      <c r="O78">
        <v>5</v>
      </c>
      <c r="P78" s="53">
        <v>5</v>
      </c>
      <c r="Q78">
        <v>97</v>
      </c>
      <c r="R78">
        <v>91</v>
      </c>
      <c r="S78">
        <v>881</v>
      </c>
      <c r="T78">
        <v>875</v>
      </c>
      <c r="U78" s="47">
        <f t="shared" si="59"/>
        <v>-8969</v>
      </c>
      <c r="V78" s="47">
        <f t="shared" si="59"/>
        <v>-8969</v>
      </c>
      <c r="W78" s="53">
        <f t="shared" si="47"/>
        <v>1440998</v>
      </c>
      <c r="X78" s="71">
        <f t="shared" si="48"/>
        <v>26184.032758620691</v>
      </c>
      <c r="Y78" s="71">
        <f t="shared" si="49"/>
        <v>26968.032758620691</v>
      </c>
      <c r="Z78" s="47">
        <f t="shared" si="50"/>
        <v>28414.064137931036</v>
      </c>
      <c r="AA78" s="57">
        <f t="shared" si="51"/>
        <v>29198.064137931036</v>
      </c>
      <c r="AB78" s="56">
        <f t="shared" si="52"/>
        <v>52919.409310344825</v>
      </c>
      <c r="AC78" s="57">
        <f t="shared" si="53"/>
        <v>55155.440689655174</v>
      </c>
      <c r="AD78" s="47">
        <f t="shared" si="41"/>
        <v>3008.0627586206892</v>
      </c>
      <c r="AE78" s="67">
        <f t="shared" si="42"/>
        <v>3609.0627586206892</v>
      </c>
      <c r="AF78" s="47">
        <f t="shared" si="43"/>
        <v>3288.0627586206892</v>
      </c>
      <c r="AG78" s="47">
        <f t="shared" si="44"/>
        <v>2618.0627586206892</v>
      </c>
      <c r="AH78" s="53">
        <v>1464</v>
      </c>
      <c r="AI78" s="53">
        <v>863</v>
      </c>
      <c r="AJ78">
        <v>1184</v>
      </c>
      <c r="AK78">
        <v>1854</v>
      </c>
      <c r="AL78" s="56">
        <v>-2570</v>
      </c>
      <c r="AM78" s="56">
        <v>-242.91</v>
      </c>
      <c r="AN78" s="53">
        <v>-6432</v>
      </c>
      <c r="AO78" s="53">
        <v>-6432</v>
      </c>
      <c r="AP78" s="53">
        <f t="shared" si="60"/>
        <v>-9002</v>
      </c>
      <c r="AQ78" s="53">
        <f t="shared" si="60"/>
        <v>-6674.91</v>
      </c>
      <c r="AR78" s="47">
        <v>-2537</v>
      </c>
      <c r="AS78" s="47">
        <v>-2537</v>
      </c>
      <c r="AT78" s="53">
        <f t="shared" si="61"/>
        <v>-8969</v>
      </c>
      <c r="AU78" s="53">
        <f t="shared" si="61"/>
        <v>-8969</v>
      </c>
      <c r="BA78" s="53"/>
    </row>
    <row r="79" spans="1:53" x14ac:dyDescent="0.25">
      <c r="A79" s="45" t="str">
        <f t="shared" si="62"/>
        <v>Pier4</v>
      </c>
      <c r="B79" s="45" t="str">
        <f t="shared" si="63"/>
        <v>East Web</v>
      </c>
      <c r="C79" t="s">
        <v>41</v>
      </c>
      <c r="D79" s="53" t="str">
        <f t="shared" si="54"/>
        <v>Pier4East WebT24</v>
      </c>
      <c r="E79" s="56">
        <f t="shared" si="55"/>
        <v>-3862</v>
      </c>
      <c r="F79" s="56">
        <f t="shared" si="55"/>
        <v>-6114.91</v>
      </c>
      <c r="G79" s="46">
        <f t="shared" si="56"/>
        <v>8250</v>
      </c>
      <c r="H79" s="53">
        <v>6000</v>
      </c>
      <c r="I79" s="54">
        <f t="shared" si="46"/>
        <v>11</v>
      </c>
      <c r="J79" s="54">
        <f t="shared" si="45"/>
        <v>11</v>
      </c>
      <c r="K79" s="46">
        <f t="shared" si="57"/>
        <v>57750</v>
      </c>
      <c r="L79" s="46">
        <f t="shared" si="58"/>
        <v>55500</v>
      </c>
      <c r="M79">
        <v>4</v>
      </c>
      <c r="N79" s="53">
        <v>4</v>
      </c>
      <c r="O79">
        <v>5</v>
      </c>
      <c r="P79" s="53">
        <v>5</v>
      </c>
      <c r="Q79">
        <v>52</v>
      </c>
      <c r="R79">
        <v>1368</v>
      </c>
      <c r="S79">
        <v>888</v>
      </c>
      <c r="T79">
        <v>2354</v>
      </c>
      <c r="U79" s="47">
        <f t="shared" si="59"/>
        <v>-3899</v>
      </c>
      <c r="V79" s="47">
        <f t="shared" si="59"/>
        <v>-3912</v>
      </c>
      <c r="W79" s="53">
        <f t="shared" si="47"/>
        <v>1446138</v>
      </c>
      <c r="X79" s="71">
        <f t="shared" si="48"/>
        <v>26232.084482758622</v>
      </c>
      <c r="Y79" s="71">
        <f t="shared" si="49"/>
        <v>27068.084482758622</v>
      </c>
      <c r="Z79" s="47">
        <f t="shared" si="50"/>
        <v>29792.091724137932</v>
      </c>
      <c r="AA79" s="57">
        <f t="shared" si="51"/>
        <v>30778.091724137932</v>
      </c>
      <c r="AB79" s="56">
        <f t="shared" si="52"/>
        <v>57596.185862068967</v>
      </c>
      <c r="AC79" s="57">
        <f t="shared" si="53"/>
        <v>55352.178620689658</v>
      </c>
      <c r="AD79" s="47">
        <f t="shared" si="41"/>
        <v>2657.0144827586209</v>
      </c>
      <c r="AE79" s="67">
        <f t="shared" si="42"/>
        <v>3325.0144827586209</v>
      </c>
      <c r="AF79" s="47">
        <f t="shared" si="43"/>
        <v>4223.0144827586209</v>
      </c>
      <c r="AG79" s="47">
        <f t="shared" si="44"/>
        <v>3721.0144827586209</v>
      </c>
      <c r="AH79" s="53">
        <v>1831</v>
      </c>
      <c r="AI79" s="53">
        <v>1163</v>
      </c>
      <c r="AJ79">
        <v>265</v>
      </c>
      <c r="AK79">
        <v>767</v>
      </c>
      <c r="AL79" s="56">
        <v>2570</v>
      </c>
      <c r="AM79" s="56">
        <v>317.08999999999997</v>
      </c>
      <c r="AN79" s="53">
        <v>-6432</v>
      </c>
      <c r="AO79" s="53">
        <v>-6432</v>
      </c>
      <c r="AP79" s="53">
        <f t="shared" si="60"/>
        <v>-3862</v>
      </c>
      <c r="AQ79" s="53">
        <f t="shared" si="60"/>
        <v>-6114.91</v>
      </c>
      <c r="AR79" s="47">
        <v>2533</v>
      </c>
      <c r="AS79" s="47">
        <v>2520</v>
      </c>
      <c r="AT79" s="53">
        <f t="shared" si="61"/>
        <v>-3899</v>
      </c>
      <c r="AU79" s="53">
        <f t="shared" si="61"/>
        <v>-3912</v>
      </c>
      <c r="BA79" s="53"/>
    </row>
    <row r="80" spans="1:53" x14ac:dyDescent="0.25">
      <c r="A80" s="45" t="str">
        <f t="shared" si="62"/>
        <v>Pier4</v>
      </c>
      <c r="B80" s="45" t="str">
        <f t="shared" si="63"/>
        <v>East Web</v>
      </c>
      <c r="C80" t="s">
        <v>42</v>
      </c>
      <c r="D80" s="53" t="str">
        <f t="shared" si="54"/>
        <v>Pier4East WebT25</v>
      </c>
      <c r="E80" s="56">
        <f t="shared" si="55"/>
        <v>-9202</v>
      </c>
      <c r="F80" s="56">
        <f t="shared" si="55"/>
        <v>-6674.91</v>
      </c>
      <c r="G80" s="46">
        <f t="shared" si="56"/>
        <v>8250</v>
      </c>
      <c r="H80" s="53">
        <v>6000</v>
      </c>
      <c r="I80" s="39">
        <f t="shared" si="46"/>
        <v>11</v>
      </c>
      <c r="J80" s="39">
        <f t="shared" si="45"/>
        <v>12</v>
      </c>
      <c r="K80" s="46">
        <f t="shared" si="57"/>
        <v>57750</v>
      </c>
      <c r="L80" s="46">
        <f t="shared" si="58"/>
        <v>60000</v>
      </c>
      <c r="M80">
        <v>5</v>
      </c>
      <c r="N80" s="53">
        <v>5</v>
      </c>
      <c r="O80">
        <v>6</v>
      </c>
      <c r="P80" s="53">
        <v>6</v>
      </c>
      <c r="Q80">
        <v>-2457</v>
      </c>
      <c r="R80">
        <v>-2463</v>
      </c>
      <c r="S80">
        <v>-1690</v>
      </c>
      <c r="T80">
        <v>-1697</v>
      </c>
      <c r="U80" s="47">
        <f t="shared" si="59"/>
        <v>-9170</v>
      </c>
      <c r="V80" s="47">
        <f t="shared" si="59"/>
        <v>-9170</v>
      </c>
      <c r="W80" s="53">
        <f t="shared" si="47"/>
        <v>1440798</v>
      </c>
      <c r="X80" s="71">
        <f t="shared" si="48"/>
        <v>28097.854137931034</v>
      </c>
      <c r="Y80" s="71">
        <f t="shared" si="49"/>
        <v>28864.854137931034</v>
      </c>
      <c r="Z80" s="47">
        <f t="shared" si="50"/>
        <v>30327.575172413795</v>
      </c>
      <c r="AA80" s="57">
        <f t="shared" si="51"/>
        <v>31093.575172413795</v>
      </c>
      <c r="AB80" s="56">
        <f t="shared" si="52"/>
        <v>57383.506551724138</v>
      </c>
      <c r="AC80" s="57">
        <f t="shared" si="53"/>
        <v>59619.227586206893</v>
      </c>
      <c r="AD80" s="47">
        <f t="shared" si="41"/>
        <v>3007.4420689655171</v>
      </c>
      <c r="AE80" s="67">
        <f t="shared" si="42"/>
        <v>3608.4420689655171</v>
      </c>
      <c r="AF80" s="47">
        <f t="shared" si="43"/>
        <v>3287.4420689655171</v>
      </c>
      <c r="AG80" s="47">
        <f t="shared" si="44"/>
        <v>2617.4420689655171</v>
      </c>
      <c r="AH80" s="53">
        <v>1464</v>
      </c>
      <c r="AI80" s="53">
        <v>863</v>
      </c>
      <c r="AJ80">
        <v>1184</v>
      </c>
      <c r="AK80">
        <v>1854</v>
      </c>
      <c r="AL80" s="56">
        <v>-2770</v>
      </c>
      <c r="AM80" s="56">
        <v>-242.91</v>
      </c>
      <c r="AN80" s="53">
        <v>-6432</v>
      </c>
      <c r="AO80" s="53">
        <v>-6432</v>
      </c>
      <c r="AP80" s="53">
        <f t="shared" si="60"/>
        <v>-9202</v>
      </c>
      <c r="AQ80" s="53">
        <f t="shared" si="60"/>
        <v>-6674.91</v>
      </c>
      <c r="AR80" s="47">
        <v>-2738</v>
      </c>
      <c r="AS80" s="47">
        <v>-2738</v>
      </c>
      <c r="AT80" s="53">
        <f t="shared" si="61"/>
        <v>-9170</v>
      </c>
      <c r="AU80" s="53">
        <f t="shared" si="61"/>
        <v>-9170</v>
      </c>
      <c r="BA80" s="53"/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1BF0-D9DD-4C1E-97DA-53E78B9BA5D5}">
  <dimension ref="A1:B28"/>
  <sheetViews>
    <sheetView workbookViewId="0">
      <selection activeCell="K7" sqref="K7"/>
    </sheetView>
  </sheetViews>
  <sheetFormatPr defaultRowHeight="15" x14ac:dyDescent="0.25"/>
  <sheetData>
    <row r="1" spans="1:2" x14ac:dyDescent="0.25">
      <c r="A1" t="s">
        <v>60</v>
      </c>
      <c r="B1" t="s">
        <v>259</v>
      </c>
    </row>
    <row r="2" spans="1:2" x14ac:dyDescent="0.25">
      <c r="A2" t="s">
        <v>260</v>
      </c>
      <c r="B2" s="53">
        <f t="shared" ref="B2:B12" si="0">B3-4500</f>
        <v>-57750</v>
      </c>
    </row>
    <row r="3" spans="1:2" x14ac:dyDescent="0.25">
      <c r="A3" t="s">
        <v>261</v>
      </c>
      <c r="B3" s="53">
        <f t="shared" si="0"/>
        <v>-53250</v>
      </c>
    </row>
    <row r="4" spans="1:2" x14ac:dyDescent="0.25">
      <c r="A4" t="s">
        <v>262</v>
      </c>
      <c r="B4" s="53">
        <f t="shared" si="0"/>
        <v>-48750</v>
      </c>
    </row>
    <row r="5" spans="1:2" x14ac:dyDescent="0.25">
      <c r="A5" s="53" t="s">
        <v>263</v>
      </c>
      <c r="B5" s="53">
        <f t="shared" si="0"/>
        <v>-44250</v>
      </c>
    </row>
    <row r="6" spans="1:2" x14ac:dyDescent="0.25">
      <c r="A6" s="53" t="s">
        <v>264</v>
      </c>
      <c r="B6" s="53">
        <f t="shared" si="0"/>
        <v>-39750</v>
      </c>
    </row>
    <row r="7" spans="1:2" x14ac:dyDescent="0.25">
      <c r="A7" s="53" t="s">
        <v>265</v>
      </c>
      <c r="B7" s="53">
        <f t="shared" si="0"/>
        <v>-35250</v>
      </c>
    </row>
    <row r="8" spans="1:2" x14ac:dyDescent="0.25">
      <c r="A8" s="53" t="s">
        <v>266</v>
      </c>
      <c r="B8" s="53">
        <f t="shared" si="0"/>
        <v>-30750</v>
      </c>
    </row>
    <row r="9" spans="1:2" x14ac:dyDescent="0.25">
      <c r="A9" s="53" t="s">
        <v>267</v>
      </c>
      <c r="B9" s="53">
        <f t="shared" si="0"/>
        <v>-26250</v>
      </c>
    </row>
    <row r="10" spans="1:2" x14ac:dyDescent="0.25">
      <c r="A10" s="53" t="s">
        <v>268</v>
      </c>
      <c r="B10" s="53">
        <f t="shared" si="0"/>
        <v>-21750</v>
      </c>
    </row>
    <row r="11" spans="1:2" x14ac:dyDescent="0.25">
      <c r="A11" s="53" t="s">
        <v>269</v>
      </c>
      <c r="B11" s="53">
        <f t="shared" si="0"/>
        <v>-17250</v>
      </c>
    </row>
    <row r="12" spans="1:2" x14ac:dyDescent="0.25">
      <c r="A12" s="53" t="s">
        <v>270</v>
      </c>
      <c r="B12" s="53">
        <f t="shared" si="0"/>
        <v>-12750</v>
      </c>
    </row>
    <row r="13" spans="1:2" x14ac:dyDescent="0.25">
      <c r="A13" s="53" t="s">
        <v>271</v>
      </c>
      <c r="B13">
        <f>B14-4500</f>
        <v>-8250</v>
      </c>
    </row>
    <row r="14" spans="1:2" x14ac:dyDescent="0.25">
      <c r="A14" s="53" t="s">
        <v>272</v>
      </c>
      <c r="B14">
        <v>-3750</v>
      </c>
    </row>
    <row r="15" spans="1:2" s="53" customFormat="1" x14ac:dyDescent="0.25">
      <c r="A15" s="53" t="s">
        <v>286</v>
      </c>
      <c r="B15" s="53">
        <v>0</v>
      </c>
    </row>
    <row r="16" spans="1:2" x14ac:dyDescent="0.25">
      <c r="A16" s="53" t="s">
        <v>273</v>
      </c>
      <c r="B16">
        <v>6000</v>
      </c>
    </row>
    <row r="17" spans="1:2" x14ac:dyDescent="0.25">
      <c r="A17" s="53" t="s">
        <v>274</v>
      </c>
      <c r="B17">
        <f>B16+4500</f>
        <v>10500</v>
      </c>
    </row>
    <row r="18" spans="1:2" x14ac:dyDescent="0.25">
      <c r="A18" s="53" t="s">
        <v>275</v>
      </c>
      <c r="B18" s="53">
        <f t="shared" ref="B18:B28" si="1">B17+4500</f>
        <v>15000</v>
      </c>
    </row>
    <row r="19" spans="1:2" x14ac:dyDescent="0.25">
      <c r="A19" s="53" t="s">
        <v>276</v>
      </c>
      <c r="B19" s="53">
        <f t="shared" si="1"/>
        <v>19500</v>
      </c>
    </row>
    <row r="20" spans="1:2" x14ac:dyDescent="0.25">
      <c r="A20" s="53" t="s">
        <v>277</v>
      </c>
      <c r="B20" s="53">
        <f t="shared" si="1"/>
        <v>24000</v>
      </c>
    </row>
    <row r="21" spans="1:2" x14ac:dyDescent="0.25">
      <c r="A21" s="53" t="s">
        <v>278</v>
      </c>
      <c r="B21" s="53">
        <f t="shared" si="1"/>
        <v>28500</v>
      </c>
    </row>
    <row r="22" spans="1:2" x14ac:dyDescent="0.25">
      <c r="A22" s="53" t="s">
        <v>279</v>
      </c>
      <c r="B22" s="53">
        <f t="shared" si="1"/>
        <v>33000</v>
      </c>
    </row>
    <row r="23" spans="1:2" x14ac:dyDescent="0.25">
      <c r="A23" s="53" t="s">
        <v>280</v>
      </c>
      <c r="B23" s="53">
        <f t="shared" si="1"/>
        <v>37500</v>
      </c>
    </row>
    <row r="24" spans="1:2" x14ac:dyDescent="0.25">
      <c r="A24" s="53" t="s">
        <v>281</v>
      </c>
      <c r="B24" s="53">
        <f t="shared" si="1"/>
        <v>42000</v>
      </c>
    </row>
    <row r="25" spans="1:2" x14ac:dyDescent="0.25">
      <c r="A25" s="53" t="s">
        <v>282</v>
      </c>
      <c r="B25" s="53">
        <f t="shared" si="1"/>
        <v>46500</v>
      </c>
    </row>
    <row r="26" spans="1:2" x14ac:dyDescent="0.25">
      <c r="A26" s="53" t="s">
        <v>283</v>
      </c>
      <c r="B26" s="53">
        <f t="shared" si="1"/>
        <v>51000</v>
      </c>
    </row>
    <row r="27" spans="1:2" x14ac:dyDescent="0.25">
      <c r="A27" s="53" t="s">
        <v>284</v>
      </c>
      <c r="B27" s="53">
        <f t="shared" si="1"/>
        <v>55500</v>
      </c>
    </row>
    <row r="28" spans="1:2" x14ac:dyDescent="0.25">
      <c r="A28" s="53" t="s">
        <v>285</v>
      </c>
      <c r="B28" s="53">
        <f t="shared" si="1"/>
        <v>60000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2ADB-EF57-4BFD-97B8-8C316D3D3EA0}">
  <dimension ref="A2:AC105"/>
  <sheetViews>
    <sheetView workbookViewId="0">
      <selection activeCell="N18" sqref="N18"/>
    </sheetView>
  </sheetViews>
  <sheetFormatPr defaultRowHeight="15" x14ac:dyDescent="0.25"/>
  <cols>
    <col min="1" max="2" width="9.140625" style="15"/>
    <col min="3" max="3" width="15.42578125" style="15" bestFit="1" customWidth="1"/>
    <col min="4" max="4" width="21.85546875" style="15" customWidth="1"/>
  </cols>
  <sheetData>
    <row r="2" spans="1:29" ht="45" x14ac:dyDescent="0.25">
      <c r="A2" s="15" t="s">
        <v>156</v>
      </c>
      <c r="B2" s="15" t="s">
        <v>60</v>
      </c>
      <c r="C2" s="15" t="s">
        <v>157</v>
      </c>
      <c r="D2" s="17" t="s">
        <v>158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5" t="s">
        <v>33</v>
      </c>
      <c r="U2" s="15" t="s">
        <v>34</v>
      </c>
      <c r="V2" s="15" t="s">
        <v>35</v>
      </c>
      <c r="W2" s="15" t="s">
        <v>36</v>
      </c>
      <c r="X2" s="15" t="s">
        <v>37</v>
      </c>
      <c r="Y2" s="15" t="s">
        <v>38</v>
      </c>
      <c r="Z2" s="15" t="s">
        <v>39</v>
      </c>
      <c r="AA2" s="15" t="s">
        <v>40</v>
      </c>
      <c r="AB2" s="15" t="s">
        <v>41</v>
      </c>
      <c r="AC2" s="15" t="s">
        <v>42</v>
      </c>
    </row>
    <row r="3" spans="1:29" x14ac:dyDescent="0.25">
      <c r="A3" s="15" t="str">
        <f>LEFT(B3,1)</f>
        <v>1</v>
      </c>
      <c r="B3" s="15" t="s">
        <v>61</v>
      </c>
      <c r="C3" s="15">
        <v>4100</v>
      </c>
      <c r="D3" s="15" t="s">
        <v>166</v>
      </c>
    </row>
    <row r="4" spans="1:29" ht="15.75" thickBot="1" x14ac:dyDescent="0.3">
      <c r="A4" s="15" t="str">
        <f t="shared" ref="A4:A64" si="0">LEFT(B4,1)</f>
        <v>1</v>
      </c>
      <c r="B4" s="15" t="s">
        <v>62</v>
      </c>
      <c r="C4" s="15">
        <v>4500</v>
      </c>
      <c r="D4" s="15" t="s">
        <v>166</v>
      </c>
    </row>
    <row r="5" spans="1:29" s="14" customFormat="1" ht="15.75" thickBot="1" x14ac:dyDescent="0.3">
      <c r="A5" s="18" t="str">
        <f t="shared" si="0"/>
        <v>0</v>
      </c>
      <c r="B5" s="16" t="s">
        <v>159</v>
      </c>
      <c r="C5" s="16">
        <v>3400</v>
      </c>
      <c r="D5" s="16" t="s">
        <v>166</v>
      </c>
    </row>
    <row r="6" spans="1:29" x14ac:dyDescent="0.25">
      <c r="A6" s="15" t="str">
        <f t="shared" si="0"/>
        <v>1</v>
      </c>
      <c r="B6" s="15" t="s">
        <v>63</v>
      </c>
      <c r="C6" s="15">
        <v>4500</v>
      </c>
      <c r="D6" s="15">
        <f t="shared" ref="D6:D12" si="1">D7+C6</f>
        <v>44250</v>
      </c>
    </row>
    <row r="7" spans="1:29" x14ac:dyDescent="0.25">
      <c r="A7" s="15" t="str">
        <f t="shared" si="0"/>
        <v>1</v>
      </c>
      <c r="B7" s="15" t="s">
        <v>64</v>
      </c>
      <c r="C7" s="15">
        <v>4500</v>
      </c>
      <c r="D7" s="15">
        <f t="shared" si="1"/>
        <v>39750</v>
      </c>
    </row>
    <row r="8" spans="1:29" x14ac:dyDescent="0.25">
      <c r="A8" s="15" t="str">
        <f t="shared" si="0"/>
        <v>1</v>
      </c>
      <c r="B8" s="15" t="s">
        <v>65</v>
      </c>
      <c r="C8" s="15">
        <v>4500</v>
      </c>
      <c r="D8" s="15">
        <f t="shared" si="1"/>
        <v>35250</v>
      </c>
    </row>
    <row r="9" spans="1:29" x14ac:dyDescent="0.25">
      <c r="A9" s="15" t="str">
        <f t="shared" si="0"/>
        <v>1</v>
      </c>
      <c r="B9" s="15" t="s">
        <v>66</v>
      </c>
      <c r="C9" s="15">
        <v>4500</v>
      </c>
      <c r="D9" s="15">
        <f t="shared" si="1"/>
        <v>30750</v>
      </c>
    </row>
    <row r="10" spans="1:29" x14ac:dyDescent="0.25">
      <c r="A10" s="15" t="str">
        <f t="shared" si="0"/>
        <v>1</v>
      </c>
      <c r="B10" s="15" t="s">
        <v>67</v>
      </c>
      <c r="C10" s="15">
        <v>4500</v>
      </c>
      <c r="D10" s="15">
        <f t="shared" si="1"/>
        <v>26250</v>
      </c>
    </row>
    <row r="11" spans="1:29" x14ac:dyDescent="0.25">
      <c r="A11" s="15" t="str">
        <f t="shared" si="0"/>
        <v>1</v>
      </c>
      <c r="B11" s="15" t="s">
        <v>68</v>
      </c>
      <c r="C11" s="15">
        <v>4500</v>
      </c>
      <c r="D11" s="15">
        <f t="shared" si="1"/>
        <v>21750</v>
      </c>
    </row>
    <row r="12" spans="1:29" x14ac:dyDescent="0.25">
      <c r="A12" s="15" t="str">
        <f t="shared" si="0"/>
        <v>1</v>
      </c>
      <c r="B12" s="15" t="s">
        <v>69</v>
      </c>
      <c r="C12" s="15">
        <v>4500</v>
      </c>
      <c r="D12" s="15">
        <f t="shared" si="1"/>
        <v>17250</v>
      </c>
    </row>
    <row r="13" spans="1:29" x14ac:dyDescent="0.25">
      <c r="A13" s="15" t="str">
        <f t="shared" si="0"/>
        <v>1</v>
      </c>
      <c r="B13" s="15" t="s">
        <v>70</v>
      </c>
      <c r="C13" s="15">
        <v>4500</v>
      </c>
      <c r="D13" s="15">
        <f>D14+C13</f>
        <v>12750</v>
      </c>
    </row>
    <row r="14" spans="1:29" x14ac:dyDescent="0.25">
      <c r="A14" s="15" t="str">
        <f t="shared" si="0"/>
        <v>1</v>
      </c>
      <c r="B14" s="15" t="s">
        <v>71</v>
      </c>
      <c r="C14" s="15">
        <f>4500+3750</f>
        <v>8250</v>
      </c>
      <c r="D14" s="15">
        <f>C14</f>
        <v>8250</v>
      </c>
    </row>
    <row r="15" spans="1:29" x14ac:dyDescent="0.25">
      <c r="A15" s="15" t="str">
        <f t="shared" si="0"/>
        <v>1</v>
      </c>
      <c r="B15" s="15" t="s">
        <v>72</v>
      </c>
      <c r="C15" s="15">
        <v>6000</v>
      </c>
      <c r="D15" s="15">
        <f>C15</f>
        <v>6000</v>
      </c>
    </row>
    <row r="16" spans="1:29" x14ac:dyDescent="0.25">
      <c r="A16" s="15" t="str">
        <f t="shared" si="0"/>
        <v>1</v>
      </c>
      <c r="B16" s="15" t="s">
        <v>73</v>
      </c>
      <c r="C16" s="15">
        <v>4500</v>
      </c>
      <c r="D16" s="15">
        <f>D15+C16</f>
        <v>10500</v>
      </c>
    </row>
    <row r="17" spans="1:4" x14ac:dyDescent="0.25">
      <c r="A17" s="15" t="str">
        <f t="shared" si="0"/>
        <v>1</v>
      </c>
      <c r="B17" s="15" t="s">
        <v>74</v>
      </c>
      <c r="C17" s="15">
        <v>4500</v>
      </c>
      <c r="D17" s="15">
        <f t="shared" ref="D17:D23" si="2">D16+C17</f>
        <v>15000</v>
      </c>
    </row>
    <row r="18" spans="1:4" x14ac:dyDescent="0.25">
      <c r="A18" s="15" t="str">
        <f t="shared" si="0"/>
        <v>1</v>
      </c>
      <c r="B18" s="15" t="s">
        <v>75</v>
      </c>
      <c r="C18" s="15">
        <v>4500</v>
      </c>
      <c r="D18" s="15">
        <f t="shared" si="2"/>
        <v>19500</v>
      </c>
    </row>
    <row r="19" spans="1:4" x14ac:dyDescent="0.25">
      <c r="A19" s="15" t="str">
        <f t="shared" si="0"/>
        <v>1</v>
      </c>
      <c r="B19" s="15" t="s">
        <v>76</v>
      </c>
      <c r="C19" s="15">
        <v>4500</v>
      </c>
      <c r="D19" s="15">
        <f t="shared" si="2"/>
        <v>24000</v>
      </c>
    </row>
    <row r="20" spans="1:4" x14ac:dyDescent="0.25">
      <c r="A20" s="15" t="str">
        <f t="shared" si="0"/>
        <v>1</v>
      </c>
      <c r="B20" s="15" t="s">
        <v>77</v>
      </c>
      <c r="C20" s="15">
        <v>4500</v>
      </c>
      <c r="D20" s="15">
        <f t="shared" si="2"/>
        <v>28500</v>
      </c>
    </row>
    <row r="21" spans="1:4" x14ac:dyDescent="0.25">
      <c r="A21" s="15" t="str">
        <f t="shared" si="0"/>
        <v>1</v>
      </c>
      <c r="B21" s="15" t="s">
        <v>78</v>
      </c>
      <c r="C21" s="15">
        <v>4500</v>
      </c>
      <c r="D21" s="15">
        <f t="shared" si="2"/>
        <v>33000</v>
      </c>
    </row>
    <row r="22" spans="1:4" x14ac:dyDescent="0.25">
      <c r="A22" s="15" t="str">
        <f t="shared" si="0"/>
        <v>1</v>
      </c>
      <c r="B22" s="15" t="s">
        <v>79</v>
      </c>
      <c r="C22" s="15">
        <v>4500</v>
      </c>
      <c r="D22" s="15">
        <f t="shared" si="2"/>
        <v>37500</v>
      </c>
    </row>
    <row r="23" spans="1:4" ht="15.75" thickBot="1" x14ac:dyDescent="0.3">
      <c r="A23" s="15" t="str">
        <f t="shared" si="0"/>
        <v>1</v>
      </c>
      <c r="B23" s="15" t="s">
        <v>80</v>
      </c>
      <c r="C23" s="15">
        <v>4500</v>
      </c>
      <c r="D23" s="15">
        <f t="shared" si="2"/>
        <v>42000</v>
      </c>
    </row>
    <row r="24" spans="1:4" s="14" customFormat="1" ht="15.75" thickBot="1" x14ac:dyDescent="0.3">
      <c r="A24" s="18" t="str">
        <f t="shared" si="0"/>
        <v>1</v>
      </c>
      <c r="B24" s="16" t="s">
        <v>81</v>
      </c>
      <c r="C24" s="16">
        <v>2750</v>
      </c>
      <c r="D24" s="16" t="s">
        <v>166</v>
      </c>
    </row>
    <row r="25" spans="1:4" x14ac:dyDescent="0.25">
      <c r="A25" s="15" t="str">
        <f t="shared" si="0"/>
        <v>2</v>
      </c>
      <c r="B25" s="15" t="s">
        <v>82</v>
      </c>
      <c r="C25" s="15">
        <v>4500</v>
      </c>
      <c r="D25" s="15">
        <f t="shared" ref="D25:D33" si="3">D26+C25</f>
        <v>53250</v>
      </c>
    </row>
    <row r="26" spans="1:4" x14ac:dyDescent="0.25">
      <c r="A26" s="15" t="str">
        <f t="shared" si="0"/>
        <v>2</v>
      </c>
      <c r="B26" s="15" t="s">
        <v>83</v>
      </c>
      <c r="C26" s="15">
        <v>4500</v>
      </c>
      <c r="D26" s="15">
        <f t="shared" si="3"/>
        <v>48750</v>
      </c>
    </row>
    <row r="27" spans="1:4" x14ac:dyDescent="0.25">
      <c r="A27" s="15" t="str">
        <f t="shared" si="0"/>
        <v>2</v>
      </c>
      <c r="B27" s="15" t="s">
        <v>84</v>
      </c>
      <c r="C27" s="15">
        <v>4500</v>
      </c>
      <c r="D27" s="15">
        <f t="shared" si="3"/>
        <v>44250</v>
      </c>
    </row>
    <row r="28" spans="1:4" x14ac:dyDescent="0.25">
      <c r="A28" s="15" t="str">
        <f t="shared" si="0"/>
        <v>2</v>
      </c>
      <c r="B28" s="15" t="s">
        <v>85</v>
      </c>
      <c r="C28" s="15">
        <v>4500</v>
      </c>
      <c r="D28" s="15">
        <f t="shared" si="3"/>
        <v>39750</v>
      </c>
    </row>
    <row r="29" spans="1:4" x14ac:dyDescent="0.25">
      <c r="A29" s="15" t="str">
        <f t="shared" si="0"/>
        <v>2</v>
      </c>
      <c r="B29" s="15" t="s">
        <v>86</v>
      </c>
      <c r="C29" s="15">
        <v>4500</v>
      </c>
      <c r="D29" s="15">
        <f t="shared" si="3"/>
        <v>35250</v>
      </c>
    </row>
    <row r="30" spans="1:4" x14ac:dyDescent="0.25">
      <c r="A30" s="15" t="str">
        <f t="shared" si="0"/>
        <v>2</v>
      </c>
      <c r="B30" s="15" t="s">
        <v>87</v>
      </c>
      <c r="C30" s="15">
        <v>4500</v>
      </c>
      <c r="D30" s="15">
        <f t="shared" si="3"/>
        <v>30750</v>
      </c>
    </row>
    <row r="31" spans="1:4" x14ac:dyDescent="0.25">
      <c r="A31" s="15" t="str">
        <f t="shared" si="0"/>
        <v>2</v>
      </c>
      <c r="B31" s="15" t="s">
        <v>88</v>
      </c>
      <c r="C31" s="15">
        <v>4500</v>
      </c>
      <c r="D31" s="15">
        <f t="shared" si="3"/>
        <v>26250</v>
      </c>
    </row>
    <row r="32" spans="1:4" x14ac:dyDescent="0.25">
      <c r="A32" s="15" t="str">
        <f t="shared" si="0"/>
        <v>2</v>
      </c>
      <c r="B32" s="15" t="s">
        <v>89</v>
      </c>
      <c r="C32" s="15">
        <v>4500</v>
      </c>
      <c r="D32" s="15">
        <f t="shared" si="3"/>
        <v>21750</v>
      </c>
    </row>
    <row r="33" spans="1:4" x14ac:dyDescent="0.25">
      <c r="A33" s="15" t="str">
        <f t="shared" si="0"/>
        <v>2</v>
      </c>
      <c r="B33" s="15" t="s">
        <v>90</v>
      </c>
      <c r="C33" s="15">
        <v>4500</v>
      </c>
      <c r="D33" s="15">
        <f t="shared" si="3"/>
        <v>17250</v>
      </c>
    </row>
    <row r="34" spans="1:4" x14ac:dyDescent="0.25">
      <c r="A34" s="15" t="str">
        <f t="shared" si="0"/>
        <v>2</v>
      </c>
      <c r="B34" s="15" t="s">
        <v>91</v>
      </c>
      <c r="C34" s="15">
        <v>4500</v>
      </c>
      <c r="D34" s="15">
        <f>D35+C34</f>
        <v>12750</v>
      </c>
    </row>
    <row r="35" spans="1:4" x14ac:dyDescent="0.25">
      <c r="A35" s="15" t="str">
        <f t="shared" si="0"/>
        <v>2</v>
      </c>
      <c r="B35" s="15" t="s">
        <v>92</v>
      </c>
      <c r="C35" s="15">
        <f>4500+3750</f>
        <v>8250</v>
      </c>
      <c r="D35" s="15">
        <f>C35</f>
        <v>8250</v>
      </c>
    </row>
    <row r="36" spans="1:4" x14ac:dyDescent="0.25">
      <c r="A36" s="15" t="str">
        <f t="shared" si="0"/>
        <v>2</v>
      </c>
      <c r="B36" s="15" t="s">
        <v>93</v>
      </c>
      <c r="C36" s="15">
        <v>6000</v>
      </c>
      <c r="D36" s="15">
        <f>C36</f>
        <v>6000</v>
      </c>
    </row>
    <row r="37" spans="1:4" x14ac:dyDescent="0.25">
      <c r="A37" s="15" t="str">
        <f t="shared" si="0"/>
        <v>2</v>
      </c>
      <c r="B37" s="15" t="s">
        <v>94</v>
      </c>
      <c r="C37" s="15">
        <v>4500</v>
      </c>
      <c r="D37" s="15">
        <f>D36+C37</f>
        <v>10500</v>
      </c>
    </row>
    <row r="38" spans="1:4" x14ac:dyDescent="0.25">
      <c r="A38" s="15" t="str">
        <f t="shared" si="0"/>
        <v>2</v>
      </c>
      <c r="B38" s="15" t="s">
        <v>95</v>
      </c>
      <c r="C38" s="15">
        <v>4500</v>
      </c>
      <c r="D38" s="15">
        <f t="shared" ref="D38:D47" si="4">D37+C38</f>
        <v>15000</v>
      </c>
    </row>
    <row r="39" spans="1:4" x14ac:dyDescent="0.25">
      <c r="A39" s="15" t="str">
        <f t="shared" si="0"/>
        <v>2</v>
      </c>
      <c r="B39" s="15" t="s">
        <v>96</v>
      </c>
      <c r="C39" s="15">
        <v>4500</v>
      </c>
      <c r="D39" s="15">
        <f t="shared" si="4"/>
        <v>19500</v>
      </c>
    </row>
    <row r="40" spans="1:4" x14ac:dyDescent="0.25">
      <c r="A40" s="15" t="str">
        <f t="shared" si="0"/>
        <v>2</v>
      </c>
      <c r="B40" s="15" t="s">
        <v>97</v>
      </c>
      <c r="C40" s="15">
        <v>4500</v>
      </c>
      <c r="D40" s="15">
        <f t="shared" si="4"/>
        <v>24000</v>
      </c>
    </row>
    <row r="41" spans="1:4" x14ac:dyDescent="0.25">
      <c r="A41" s="15" t="str">
        <f t="shared" si="0"/>
        <v>2</v>
      </c>
      <c r="B41" s="15" t="s">
        <v>98</v>
      </c>
      <c r="C41" s="15">
        <v>4500</v>
      </c>
      <c r="D41" s="15">
        <f t="shared" si="4"/>
        <v>28500</v>
      </c>
    </row>
    <row r="42" spans="1:4" x14ac:dyDescent="0.25">
      <c r="A42" s="15" t="str">
        <f t="shared" si="0"/>
        <v>2</v>
      </c>
      <c r="B42" s="15" t="s">
        <v>99</v>
      </c>
      <c r="C42" s="15">
        <v>4500</v>
      </c>
      <c r="D42" s="15">
        <f t="shared" si="4"/>
        <v>33000</v>
      </c>
    </row>
    <row r="43" spans="1:4" x14ac:dyDescent="0.25">
      <c r="A43" s="15" t="str">
        <f t="shared" si="0"/>
        <v>2</v>
      </c>
      <c r="B43" s="15" t="s">
        <v>100</v>
      </c>
      <c r="C43" s="15">
        <v>4500</v>
      </c>
      <c r="D43" s="15">
        <f t="shared" si="4"/>
        <v>37500</v>
      </c>
    </row>
    <row r="44" spans="1:4" x14ac:dyDescent="0.25">
      <c r="A44" s="15" t="str">
        <f t="shared" si="0"/>
        <v>2</v>
      </c>
      <c r="B44" s="15" t="s">
        <v>101</v>
      </c>
      <c r="C44" s="15">
        <v>4500</v>
      </c>
      <c r="D44" s="15">
        <f t="shared" si="4"/>
        <v>42000</v>
      </c>
    </row>
    <row r="45" spans="1:4" x14ac:dyDescent="0.25">
      <c r="A45" s="15" t="str">
        <f t="shared" si="0"/>
        <v>2</v>
      </c>
      <c r="B45" s="15" t="s">
        <v>102</v>
      </c>
      <c r="C45" s="15">
        <v>4500</v>
      </c>
      <c r="D45" s="15">
        <f t="shared" si="4"/>
        <v>46500</v>
      </c>
    </row>
    <row r="46" spans="1:4" x14ac:dyDescent="0.25">
      <c r="A46" s="15" t="str">
        <f t="shared" si="0"/>
        <v>2</v>
      </c>
      <c r="B46" s="15" t="s">
        <v>103</v>
      </c>
      <c r="C46" s="15">
        <v>4500</v>
      </c>
      <c r="D46" s="15">
        <f t="shared" si="4"/>
        <v>51000</v>
      </c>
    </row>
    <row r="47" spans="1:4" ht="15.75" thickBot="1" x14ac:dyDescent="0.3">
      <c r="A47" s="15" t="str">
        <f t="shared" si="0"/>
        <v>2</v>
      </c>
      <c r="B47" s="15" t="s">
        <v>104</v>
      </c>
      <c r="C47" s="15">
        <v>4500</v>
      </c>
      <c r="D47" s="15">
        <f t="shared" si="4"/>
        <v>55500</v>
      </c>
    </row>
    <row r="48" spans="1:4" s="14" customFormat="1" ht="15.75" thickBot="1" x14ac:dyDescent="0.3">
      <c r="A48" s="18" t="str">
        <f t="shared" si="0"/>
        <v>2</v>
      </c>
      <c r="B48" s="16" t="s">
        <v>105</v>
      </c>
      <c r="C48" s="16">
        <v>2750</v>
      </c>
      <c r="D48" s="16" t="s">
        <v>166</v>
      </c>
    </row>
    <row r="49" spans="1:4" x14ac:dyDescent="0.25">
      <c r="A49" s="15" t="str">
        <f t="shared" si="0"/>
        <v>3</v>
      </c>
      <c r="B49" s="15" t="s">
        <v>106</v>
      </c>
      <c r="C49" s="15">
        <v>4500</v>
      </c>
      <c r="D49" s="15">
        <f t="shared" ref="D49:D58" si="5">D50+C49</f>
        <v>57750</v>
      </c>
    </row>
    <row r="50" spans="1:4" x14ac:dyDescent="0.25">
      <c r="A50" s="15" t="str">
        <f t="shared" si="0"/>
        <v>3</v>
      </c>
      <c r="B50" s="15" t="s">
        <v>107</v>
      </c>
      <c r="C50" s="15">
        <v>4500</v>
      </c>
      <c r="D50" s="15">
        <f t="shared" si="5"/>
        <v>53250</v>
      </c>
    </row>
    <row r="51" spans="1:4" x14ac:dyDescent="0.25">
      <c r="A51" s="15" t="str">
        <f t="shared" si="0"/>
        <v>3</v>
      </c>
      <c r="B51" s="15" t="s">
        <v>108</v>
      </c>
      <c r="C51" s="15">
        <v>4500</v>
      </c>
      <c r="D51" s="15">
        <f t="shared" si="5"/>
        <v>48750</v>
      </c>
    </row>
    <row r="52" spans="1:4" x14ac:dyDescent="0.25">
      <c r="A52" s="15" t="str">
        <f t="shared" si="0"/>
        <v>3</v>
      </c>
      <c r="B52" s="15" t="s">
        <v>109</v>
      </c>
      <c r="C52" s="15">
        <v>4500</v>
      </c>
      <c r="D52" s="15">
        <f t="shared" si="5"/>
        <v>44250</v>
      </c>
    </row>
    <row r="53" spans="1:4" x14ac:dyDescent="0.25">
      <c r="A53" s="15" t="str">
        <f t="shared" si="0"/>
        <v>3</v>
      </c>
      <c r="B53" s="15" t="s">
        <v>110</v>
      </c>
      <c r="C53" s="15">
        <v>4500</v>
      </c>
      <c r="D53" s="15">
        <f t="shared" si="5"/>
        <v>39750</v>
      </c>
    </row>
    <row r="54" spans="1:4" x14ac:dyDescent="0.25">
      <c r="A54" s="15" t="str">
        <f t="shared" si="0"/>
        <v>3</v>
      </c>
      <c r="B54" s="15" t="s">
        <v>111</v>
      </c>
      <c r="C54" s="15">
        <v>4500</v>
      </c>
      <c r="D54" s="15">
        <f t="shared" si="5"/>
        <v>35250</v>
      </c>
    </row>
    <row r="55" spans="1:4" x14ac:dyDescent="0.25">
      <c r="A55" s="15" t="str">
        <f t="shared" si="0"/>
        <v>3</v>
      </c>
      <c r="B55" s="15" t="s">
        <v>112</v>
      </c>
      <c r="C55" s="15">
        <v>4500</v>
      </c>
      <c r="D55" s="15">
        <f t="shared" si="5"/>
        <v>30750</v>
      </c>
    </row>
    <row r="56" spans="1:4" x14ac:dyDescent="0.25">
      <c r="A56" s="15" t="str">
        <f t="shared" si="0"/>
        <v>3</v>
      </c>
      <c r="B56" s="15" t="s">
        <v>113</v>
      </c>
      <c r="C56" s="15">
        <v>4500</v>
      </c>
      <c r="D56" s="15">
        <f t="shared" si="5"/>
        <v>26250</v>
      </c>
    </row>
    <row r="57" spans="1:4" x14ac:dyDescent="0.25">
      <c r="A57" s="15" t="str">
        <f t="shared" si="0"/>
        <v>3</v>
      </c>
      <c r="B57" s="15" t="s">
        <v>114</v>
      </c>
      <c r="C57" s="15">
        <v>4500</v>
      </c>
      <c r="D57" s="15">
        <f t="shared" si="5"/>
        <v>21750</v>
      </c>
    </row>
    <row r="58" spans="1:4" x14ac:dyDescent="0.25">
      <c r="A58" s="15" t="str">
        <f t="shared" si="0"/>
        <v>3</v>
      </c>
      <c r="B58" s="15" t="s">
        <v>115</v>
      </c>
      <c r="C58" s="15">
        <v>4500</v>
      </c>
      <c r="D58" s="15">
        <f t="shared" si="5"/>
        <v>17250</v>
      </c>
    </row>
    <row r="59" spans="1:4" x14ac:dyDescent="0.25">
      <c r="A59" s="15" t="str">
        <f t="shared" si="0"/>
        <v>3</v>
      </c>
      <c r="B59" s="15" t="s">
        <v>116</v>
      </c>
      <c r="C59" s="15">
        <v>4500</v>
      </c>
      <c r="D59" s="15">
        <f>D60+C59</f>
        <v>12750</v>
      </c>
    </row>
    <row r="60" spans="1:4" x14ac:dyDescent="0.25">
      <c r="A60" s="15" t="str">
        <f t="shared" si="0"/>
        <v>3</v>
      </c>
      <c r="B60" s="15" t="s">
        <v>117</v>
      </c>
      <c r="C60" s="15">
        <f>4500+3750</f>
        <v>8250</v>
      </c>
      <c r="D60" s="15">
        <f>C60</f>
        <v>8250</v>
      </c>
    </row>
    <row r="61" spans="1:4" x14ac:dyDescent="0.25">
      <c r="A61" s="15" t="str">
        <f t="shared" si="0"/>
        <v>3</v>
      </c>
      <c r="B61" s="15" t="s">
        <v>118</v>
      </c>
      <c r="C61" s="15">
        <v>6000</v>
      </c>
      <c r="D61" s="15">
        <f>C61</f>
        <v>6000</v>
      </c>
    </row>
    <row r="62" spans="1:4" x14ac:dyDescent="0.25">
      <c r="A62" s="15" t="str">
        <f t="shared" si="0"/>
        <v>3</v>
      </c>
      <c r="B62" s="15" t="s">
        <v>119</v>
      </c>
      <c r="C62" s="15">
        <v>4500</v>
      </c>
      <c r="D62" s="15">
        <f>D61+C62</f>
        <v>10500</v>
      </c>
    </row>
    <row r="63" spans="1:4" x14ac:dyDescent="0.25">
      <c r="A63" s="15" t="str">
        <f t="shared" si="0"/>
        <v>3</v>
      </c>
      <c r="B63" s="15" t="s">
        <v>120</v>
      </c>
      <c r="C63" s="15">
        <v>4500</v>
      </c>
      <c r="D63" s="15">
        <f t="shared" ref="D63:D72" si="6">D62+C63</f>
        <v>15000</v>
      </c>
    </row>
    <row r="64" spans="1:4" x14ac:dyDescent="0.25">
      <c r="A64" s="15" t="str">
        <f t="shared" si="0"/>
        <v>3</v>
      </c>
      <c r="B64" s="15" t="s">
        <v>121</v>
      </c>
      <c r="C64" s="15">
        <v>4500</v>
      </c>
      <c r="D64" s="15">
        <f t="shared" si="6"/>
        <v>19500</v>
      </c>
    </row>
    <row r="65" spans="1:4" x14ac:dyDescent="0.25">
      <c r="A65" s="15" t="str">
        <f t="shared" ref="A65:A105" si="7">LEFT(B65,1)</f>
        <v>3</v>
      </c>
      <c r="B65" s="15" t="s">
        <v>122</v>
      </c>
      <c r="C65" s="15">
        <v>4500</v>
      </c>
      <c r="D65" s="15">
        <f t="shared" si="6"/>
        <v>24000</v>
      </c>
    </row>
    <row r="66" spans="1:4" x14ac:dyDescent="0.25">
      <c r="A66" s="15" t="str">
        <f t="shared" si="7"/>
        <v>3</v>
      </c>
      <c r="B66" s="15" t="s">
        <v>123</v>
      </c>
      <c r="C66" s="15">
        <v>4500</v>
      </c>
      <c r="D66" s="15">
        <f t="shared" si="6"/>
        <v>28500</v>
      </c>
    </row>
    <row r="67" spans="1:4" x14ac:dyDescent="0.25">
      <c r="A67" s="15" t="str">
        <f t="shared" si="7"/>
        <v>3</v>
      </c>
      <c r="B67" s="15" t="s">
        <v>124</v>
      </c>
      <c r="C67" s="15">
        <v>4500</v>
      </c>
      <c r="D67" s="15">
        <f t="shared" si="6"/>
        <v>33000</v>
      </c>
    </row>
    <row r="68" spans="1:4" x14ac:dyDescent="0.25">
      <c r="A68" s="15" t="str">
        <f t="shared" si="7"/>
        <v>3</v>
      </c>
      <c r="B68" s="15" t="s">
        <v>125</v>
      </c>
      <c r="C68" s="15">
        <v>4500</v>
      </c>
      <c r="D68" s="15">
        <f t="shared" si="6"/>
        <v>37500</v>
      </c>
    </row>
    <row r="69" spans="1:4" x14ac:dyDescent="0.25">
      <c r="A69" s="15" t="str">
        <f t="shared" si="7"/>
        <v>3</v>
      </c>
      <c r="B69" s="15" t="s">
        <v>126</v>
      </c>
      <c r="C69" s="15">
        <v>4500</v>
      </c>
      <c r="D69" s="15">
        <f t="shared" si="6"/>
        <v>42000</v>
      </c>
    </row>
    <row r="70" spans="1:4" x14ac:dyDescent="0.25">
      <c r="A70" s="15" t="str">
        <f t="shared" si="7"/>
        <v>3</v>
      </c>
      <c r="B70" s="15" t="s">
        <v>127</v>
      </c>
      <c r="C70" s="15">
        <v>4500</v>
      </c>
      <c r="D70" s="15">
        <f t="shared" si="6"/>
        <v>46500</v>
      </c>
    </row>
    <row r="71" spans="1:4" x14ac:dyDescent="0.25">
      <c r="A71" s="15" t="str">
        <f t="shared" si="7"/>
        <v>3</v>
      </c>
      <c r="B71" s="15" t="s">
        <v>128</v>
      </c>
      <c r="C71" s="15">
        <v>4500</v>
      </c>
      <c r="D71" s="15">
        <f t="shared" si="6"/>
        <v>51000</v>
      </c>
    </row>
    <row r="72" spans="1:4" ht="15.75" thickBot="1" x14ac:dyDescent="0.3">
      <c r="A72" s="15" t="str">
        <f t="shared" si="7"/>
        <v>3</v>
      </c>
      <c r="B72" s="15" t="s">
        <v>129</v>
      </c>
      <c r="C72" s="15">
        <v>4500</v>
      </c>
      <c r="D72" s="15">
        <f t="shared" si="6"/>
        <v>55500</v>
      </c>
    </row>
    <row r="73" spans="1:4" s="14" customFormat="1" ht="15.75" thickBot="1" x14ac:dyDescent="0.3">
      <c r="A73" s="18" t="str">
        <f t="shared" si="7"/>
        <v>3</v>
      </c>
      <c r="B73" s="16" t="s">
        <v>130</v>
      </c>
      <c r="C73" s="16">
        <v>2750</v>
      </c>
      <c r="D73" s="16" t="s">
        <v>166</v>
      </c>
    </row>
    <row r="74" spans="1:4" x14ac:dyDescent="0.25">
      <c r="A74" s="15" t="str">
        <f t="shared" si="7"/>
        <v>4</v>
      </c>
      <c r="B74" s="15" t="s">
        <v>131</v>
      </c>
      <c r="C74" s="15">
        <v>4500</v>
      </c>
      <c r="D74" s="15">
        <f t="shared" ref="D74:D83" si="8">D75+C74</f>
        <v>57750</v>
      </c>
    </row>
    <row r="75" spans="1:4" x14ac:dyDescent="0.25">
      <c r="A75" s="15" t="str">
        <f t="shared" si="7"/>
        <v>4</v>
      </c>
      <c r="B75" s="15" t="s">
        <v>132</v>
      </c>
      <c r="C75" s="15">
        <v>4500</v>
      </c>
      <c r="D75" s="15">
        <f t="shared" si="8"/>
        <v>53250</v>
      </c>
    </row>
    <row r="76" spans="1:4" x14ac:dyDescent="0.25">
      <c r="A76" s="15" t="str">
        <f t="shared" si="7"/>
        <v>4</v>
      </c>
      <c r="B76" s="15" t="s">
        <v>133</v>
      </c>
      <c r="C76" s="15">
        <v>4500</v>
      </c>
      <c r="D76" s="15">
        <f t="shared" si="8"/>
        <v>48750</v>
      </c>
    </row>
    <row r="77" spans="1:4" x14ac:dyDescent="0.25">
      <c r="A77" s="15" t="str">
        <f t="shared" si="7"/>
        <v>4</v>
      </c>
      <c r="B77" s="15" t="s">
        <v>134</v>
      </c>
      <c r="C77" s="15">
        <v>4500</v>
      </c>
      <c r="D77" s="15">
        <f t="shared" si="8"/>
        <v>44250</v>
      </c>
    </row>
    <row r="78" spans="1:4" x14ac:dyDescent="0.25">
      <c r="A78" s="15" t="str">
        <f t="shared" si="7"/>
        <v>4</v>
      </c>
      <c r="B78" s="15" t="s">
        <v>135</v>
      </c>
      <c r="C78" s="15">
        <v>4500</v>
      </c>
      <c r="D78" s="15">
        <f t="shared" si="8"/>
        <v>39750</v>
      </c>
    </row>
    <row r="79" spans="1:4" x14ac:dyDescent="0.25">
      <c r="A79" s="15" t="str">
        <f t="shared" si="7"/>
        <v>4</v>
      </c>
      <c r="B79" s="15" t="s">
        <v>136</v>
      </c>
      <c r="C79" s="15">
        <v>4500</v>
      </c>
      <c r="D79" s="15">
        <f t="shared" si="8"/>
        <v>35250</v>
      </c>
    </row>
    <row r="80" spans="1:4" x14ac:dyDescent="0.25">
      <c r="A80" s="15" t="str">
        <f t="shared" si="7"/>
        <v>4</v>
      </c>
      <c r="B80" s="15" t="s">
        <v>137</v>
      </c>
      <c r="C80" s="15">
        <v>4500</v>
      </c>
      <c r="D80" s="15">
        <f t="shared" si="8"/>
        <v>30750</v>
      </c>
    </row>
    <row r="81" spans="1:4" x14ac:dyDescent="0.25">
      <c r="A81" s="15" t="str">
        <f t="shared" si="7"/>
        <v>4</v>
      </c>
      <c r="B81" s="15" t="s">
        <v>138</v>
      </c>
      <c r="C81" s="15">
        <v>4500</v>
      </c>
      <c r="D81" s="15">
        <f t="shared" si="8"/>
        <v>26250</v>
      </c>
    </row>
    <row r="82" spans="1:4" x14ac:dyDescent="0.25">
      <c r="A82" s="15" t="str">
        <f t="shared" si="7"/>
        <v>4</v>
      </c>
      <c r="B82" s="15" t="s">
        <v>139</v>
      </c>
      <c r="C82" s="15">
        <v>4500</v>
      </c>
      <c r="D82" s="15">
        <f t="shared" si="8"/>
        <v>21750</v>
      </c>
    </row>
    <row r="83" spans="1:4" x14ac:dyDescent="0.25">
      <c r="A83" s="15" t="str">
        <f t="shared" si="7"/>
        <v>4</v>
      </c>
      <c r="B83" s="15" t="s">
        <v>140</v>
      </c>
      <c r="C83" s="15">
        <v>4500</v>
      </c>
      <c r="D83" s="15">
        <f t="shared" si="8"/>
        <v>17250</v>
      </c>
    </row>
    <row r="84" spans="1:4" x14ac:dyDescent="0.25">
      <c r="A84" s="15" t="str">
        <f t="shared" si="7"/>
        <v>4</v>
      </c>
      <c r="B84" s="15" t="s">
        <v>141</v>
      </c>
      <c r="C84" s="15">
        <v>4500</v>
      </c>
      <c r="D84" s="15">
        <f>D85+C84</f>
        <v>12750</v>
      </c>
    </row>
    <row r="85" spans="1:4" x14ac:dyDescent="0.25">
      <c r="A85" s="15" t="str">
        <f t="shared" si="7"/>
        <v>4</v>
      </c>
      <c r="B85" s="15" t="s">
        <v>142</v>
      </c>
      <c r="C85" s="15">
        <f>4500+3750</f>
        <v>8250</v>
      </c>
      <c r="D85" s="15">
        <f>C85</f>
        <v>8250</v>
      </c>
    </row>
    <row r="86" spans="1:4" x14ac:dyDescent="0.25">
      <c r="A86" s="15" t="str">
        <f t="shared" si="7"/>
        <v>4</v>
      </c>
      <c r="B86" s="15" t="s">
        <v>143</v>
      </c>
      <c r="C86" s="15">
        <v>6000</v>
      </c>
      <c r="D86" s="15">
        <f>C86</f>
        <v>6000</v>
      </c>
    </row>
    <row r="87" spans="1:4" x14ac:dyDescent="0.25">
      <c r="A87" s="15" t="str">
        <f t="shared" si="7"/>
        <v>4</v>
      </c>
      <c r="B87" s="15" t="s">
        <v>144</v>
      </c>
      <c r="C87" s="15">
        <v>4500</v>
      </c>
      <c r="D87" s="15">
        <f>D86+C87</f>
        <v>10500</v>
      </c>
    </row>
    <row r="88" spans="1:4" x14ac:dyDescent="0.25">
      <c r="A88" s="15" t="str">
        <f t="shared" si="7"/>
        <v>4</v>
      </c>
      <c r="B88" s="15" t="s">
        <v>142</v>
      </c>
      <c r="C88" s="15">
        <v>4500</v>
      </c>
      <c r="D88" s="15">
        <f t="shared" ref="D88:D99" si="9">D87+C88</f>
        <v>15000</v>
      </c>
    </row>
    <row r="89" spans="1:4" x14ac:dyDescent="0.25">
      <c r="A89" s="15" t="str">
        <f t="shared" si="7"/>
        <v>4</v>
      </c>
      <c r="B89" s="15" t="s">
        <v>145</v>
      </c>
      <c r="C89" s="15">
        <v>4500</v>
      </c>
      <c r="D89" s="15">
        <f t="shared" si="9"/>
        <v>19500</v>
      </c>
    </row>
    <row r="90" spans="1:4" x14ac:dyDescent="0.25">
      <c r="A90" s="15" t="str">
        <f t="shared" si="7"/>
        <v>4</v>
      </c>
      <c r="B90" s="15" t="s">
        <v>146</v>
      </c>
      <c r="C90" s="15">
        <v>4500</v>
      </c>
      <c r="D90" s="15">
        <f t="shared" si="9"/>
        <v>24000</v>
      </c>
    </row>
    <row r="91" spans="1:4" x14ac:dyDescent="0.25">
      <c r="A91" s="15" t="str">
        <f t="shared" si="7"/>
        <v>4</v>
      </c>
      <c r="B91" s="15" t="s">
        <v>147</v>
      </c>
      <c r="C91" s="15">
        <v>4500</v>
      </c>
      <c r="D91" s="15">
        <f t="shared" si="9"/>
        <v>28500</v>
      </c>
    </row>
    <row r="92" spans="1:4" x14ac:dyDescent="0.25">
      <c r="A92" s="15" t="str">
        <f t="shared" si="7"/>
        <v>4</v>
      </c>
      <c r="B92" s="15" t="s">
        <v>148</v>
      </c>
      <c r="C92" s="15">
        <v>4500</v>
      </c>
      <c r="D92" s="15">
        <f t="shared" si="9"/>
        <v>33000</v>
      </c>
    </row>
    <row r="93" spans="1:4" x14ac:dyDescent="0.25">
      <c r="A93" s="15" t="str">
        <f t="shared" si="7"/>
        <v>4</v>
      </c>
      <c r="B93" s="15" t="s">
        <v>149</v>
      </c>
      <c r="C93" s="15">
        <v>4500</v>
      </c>
      <c r="D93" s="15">
        <f t="shared" si="9"/>
        <v>37500</v>
      </c>
    </row>
    <row r="94" spans="1:4" x14ac:dyDescent="0.25">
      <c r="A94" s="15" t="str">
        <f t="shared" si="7"/>
        <v>4</v>
      </c>
      <c r="B94" s="15" t="s">
        <v>150</v>
      </c>
      <c r="C94" s="15">
        <v>4500</v>
      </c>
      <c r="D94" s="15">
        <f t="shared" si="9"/>
        <v>42000</v>
      </c>
    </row>
    <row r="95" spans="1:4" x14ac:dyDescent="0.25">
      <c r="A95" s="15" t="str">
        <f t="shared" si="7"/>
        <v>4</v>
      </c>
      <c r="B95" s="15" t="s">
        <v>151</v>
      </c>
      <c r="C95" s="15">
        <v>4500</v>
      </c>
      <c r="D95" s="15">
        <f t="shared" si="9"/>
        <v>46500</v>
      </c>
    </row>
    <row r="96" spans="1:4" x14ac:dyDescent="0.25">
      <c r="A96" s="15" t="str">
        <f t="shared" si="7"/>
        <v>4</v>
      </c>
      <c r="B96" s="15" t="s">
        <v>152</v>
      </c>
      <c r="C96" s="15">
        <v>4500</v>
      </c>
      <c r="D96" s="15">
        <f t="shared" si="9"/>
        <v>51000</v>
      </c>
    </row>
    <row r="97" spans="1:4" x14ac:dyDescent="0.25">
      <c r="A97" s="15" t="str">
        <f t="shared" si="7"/>
        <v>4</v>
      </c>
      <c r="B97" s="15" t="s">
        <v>153</v>
      </c>
      <c r="C97" s="15">
        <v>4500</v>
      </c>
      <c r="D97" s="15">
        <f t="shared" si="9"/>
        <v>55500</v>
      </c>
    </row>
    <row r="98" spans="1:4" x14ac:dyDescent="0.25">
      <c r="A98" s="15" t="str">
        <f t="shared" si="7"/>
        <v>4</v>
      </c>
      <c r="B98" s="15" t="s">
        <v>154</v>
      </c>
      <c r="C98" s="15">
        <v>4500</v>
      </c>
      <c r="D98" s="15">
        <f t="shared" si="9"/>
        <v>60000</v>
      </c>
    </row>
    <row r="99" spans="1:4" ht="15.75" thickBot="1" x14ac:dyDescent="0.3">
      <c r="A99" s="15" t="str">
        <f t="shared" si="7"/>
        <v>4</v>
      </c>
      <c r="B99" s="15" t="s">
        <v>155</v>
      </c>
      <c r="C99" s="15">
        <v>4500</v>
      </c>
      <c r="D99" s="15">
        <f t="shared" si="9"/>
        <v>64500</v>
      </c>
    </row>
    <row r="100" spans="1:4" s="14" customFormat="1" ht="15.75" thickBot="1" x14ac:dyDescent="0.3">
      <c r="A100" s="18" t="str">
        <f t="shared" si="7"/>
        <v>4</v>
      </c>
      <c r="B100" s="16" t="s">
        <v>160</v>
      </c>
      <c r="C100" s="16">
        <v>4500</v>
      </c>
      <c r="D100" s="16" t="s">
        <v>166</v>
      </c>
    </row>
    <row r="101" spans="1:4" x14ac:dyDescent="0.25">
      <c r="A101" s="15" t="str">
        <f t="shared" si="7"/>
        <v>4</v>
      </c>
      <c r="B101" s="15" t="s">
        <v>161</v>
      </c>
      <c r="C101" s="15">
        <v>4500</v>
      </c>
      <c r="D101" s="15" t="s">
        <v>166</v>
      </c>
    </row>
    <row r="102" spans="1:4" x14ac:dyDescent="0.25">
      <c r="A102" s="15" t="str">
        <f t="shared" si="7"/>
        <v>4</v>
      </c>
      <c r="B102" s="15" t="s">
        <v>162</v>
      </c>
      <c r="C102" s="15">
        <v>4500</v>
      </c>
      <c r="D102" s="15" t="s">
        <v>166</v>
      </c>
    </row>
    <row r="103" spans="1:4" x14ac:dyDescent="0.25">
      <c r="A103" s="15" t="str">
        <f t="shared" si="7"/>
        <v>4</v>
      </c>
      <c r="B103" s="15" t="s">
        <v>163</v>
      </c>
      <c r="C103" s="15">
        <v>4500</v>
      </c>
      <c r="D103" s="15" t="s">
        <v>166</v>
      </c>
    </row>
    <row r="104" spans="1:4" x14ac:dyDescent="0.25">
      <c r="A104" s="15" t="str">
        <f t="shared" si="7"/>
        <v>4</v>
      </c>
      <c r="B104" s="15" t="s">
        <v>164</v>
      </c>
      <c r="C104" s="15">
        <v>4500</v>
      </c>
      <c r="D104" s="15" t="s">
        <v>166</v>
      </c>
    </row>
    <row r="105" spans="1:4" x14ac:dyDescent="0.25">
      <c r="A105" s="15" t="str">
        <f t="shared" si="7"/>
        <v>4</v>
      </c>
      <c r="B105" s="15" t="s">
        <v>165</v>
      </c>
      <c r="C105" s="15">
        <v>4100</v>
      </c>
      <c r="D105" s="15" t="s">
        <v>166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406A-DFDD-43BD-B65E-0A91BA84CA00}">
  <dimension ref="A1:Q40"/>
  <sheetViews>
    <sheetView workbookViewId="0">
      <selection activeCell="I11" sqref="I11"/>
    </sheetView>
  </sheetViews>
  <sheetFormatPr defaultRowHeight="15" x14ac:dyDescent="0.25"/>
  <cols>
    <col min="2" max="2" width="12" bestFit="1" customWidth="1"/>
    <col min="6" max="11" width="13.5703125" customWidth="1"/>
    <col min="12" max="17" width="13.140625" customWidth="1"/>
  </cols>
  <sheetData>
    <row r="1" spans="1:17" ht="15.75" thickBot="1" x14ac:dyDescent="0.3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25">
      <c r="F2" s="4" t="s">
        <v>200</v>
      </c>
      <c r="G2" s="10"/>
      <c r="H2" s="10"/>
      <c r="I2" s="10"/>
      <c r="J2" s="10"/>
      <c r="K2" s="22"/>
      <c r="L2" s="10"/>
      <c r="M2" s="10"/>
      <c r="N2" s="10"/>
      <c r="O2" s="10"/>
      <c r="P2" s="10"/>
      <c r="Q2" s="5"/>
    </row>
    <row r="3" spans="1:17" ht="45" x14ac:dyDescent="0.25">
      <c r="F3" s="6" t="s">
        <v>189</v>
      </c>
      <c r="G3" s="12"/>
      <c r="H3" s="12"/>
      <c r="I3" s="12"/>
      <c r="J3" s="12"/>
      <c r="K3" s="23"/>
      <c r="L3" s="11" t="s">
        <v>189</v>
      </c>
      <c r="M3" s="12"/>
      <c r="N3" s="12"/>
      <c r="O3" s="12"/>
      <c r="P3" s="12"/>
      <c r="Q3" s="9"/>
    </row>
    <row r="4" spans="1:17" ht="60.75" thickBot="1" x14ac:dyDescent="0.3">
      <c r="A4" s="12" t="s">
        <v>167</v>
      </c>
      <c r="B4" s="12" t="s">
        <v>201</v>
      </c>
      <c r="C4" s="12" t="s">
        <v>168</v>
      </c>
      <c r="D4" s="12" t="s">
        <v>169</v>
      </c>
      <c r="E4" s="12" t="s">
        <v>170</v>
      </c>
      <c r="F4" s="6" t="s">
        <v>190</v>
      </c>
      <c r="G4" s="12" t="s">
        <v>191</v>
      </c>
      <c r="H4" s="11" t="s">
        <v>194</v>
      </c>
      <c r="I4" s="11" t="s">
        <v>195</v>
      </c>
      <c r="J4" s="11" t="s">
        <v>197</v>
      </c>
      <c r="K4" s="24" t="s">
        <v>196</v>
      </c>
      <c r="L4" s="11" t="s">
        <v>190</v>
      </c>
      <c r="M4" s="12" t="s">
        <v>191</v>
      </c>
      <c r="N4" s="11" t="s">
        <v>194</v>
      </c>
      <c r="O4" s="11" t="s">
        <v>195</v>
      </c>
      <c r="P4" s="11" t="s">
        <v>197</v>
      </c>
      <c r="Q4" s="7" t="s">
        <v>196</v>
      </c>
    </row>
    <row r="5" spans="1:17" x14ac:dyDescent="0.25">
      <c r="A5" s="4" t="s">
        <v>171</v>
      </c>
      <c r="B5" s="10" t="s">
        <v>209</v>
      </c>
      <c r="C5" s="10">
        <v>0</v>
      </c>
      <c r="D5" s="10">
        <v>9190</v>
      </c>
      <c r="E5" s="10">
        <v>-892</v>
      </c>
      <c r="F5" s="4">
        <f>91+40/60</f>
        <v>91.666666666666671</v>
      </c>
      <c r="G5" s="10" t="s">
        <v>198</v>
      </c>
      <c r="H5" s="26"/>
      <c r="I5" s="26"/>
      <c r="J5" s="26"/>
      <c r="K5" s="27"/>
      <c r="L5" s="26">
        <f>88+20/60</f>
        <v>88.333333333333329</v>
      </c>
      <c r="M5" s="10">
        <v>1</v>
      </c>
      <c r="N5" s="26">
        <f>84+51/60</f>
        <v>84.85</v>
      </c>
      <c r="O5" s="26"/>
      <c r="P5" s="26"/>
      <c r="Q5" s="28">
        <f>86+29/60</f>
        <v>86.483333333333334</v>
      </c>
    </row>
    <row r="6" spans="1:17" x14ac:dyDescent="0.25">
      <c r="A6" s="8" t="s">
        <v>172</v>
      </c>
      <c r="B6" s="12" t="s">
        <v>209</v>
      </c>
      <c r="C6" s="12">
        <v>0</v>
      </c>
      <c r="D6" s="12">
        <v>8776</v>
      </c>
      <c r="E6" s="12">
        <v>-850</v>
      </c>
      <c r="F6" s="8">
        <f t="shared" ref="F6:F22" si="0">91+40/60</f>
        <v>91.666666666666671</v>
      </c>
      <c r="G6" s="13" t="s">
        <v>192</v>
      </c>
      <c r="H6" s="29">
        <f>82+8/60</f>
        <v>82.13333333333334</v>
      </c>
      <c r="I6" s="13"/>
      <c r="J6" s="13"/>
      <c r="K6" s="30">
        <v>84</v>
      </c>
      <c r="L6" s="13">
        <f t="shared" ref="L6:L22" si="1">88+20/60</f>
        <v>88.333333333333329</v>
      </c>
      <c r="M6" s="13">
        <v>2</v>
      </c>
      <c r="N6" s="29"/>
      <c r="O6" s="13"/>
      <c r="P6" s="13"/>
      <c r="Q6" s="31"/>
    </row>
    <row r="7" spans="1:17" x14ac:dyDescent="0.25">
      <c r="A7" s="8" t="s">
        <v>173</v>
      </c>
      <c r="B7" s="12" t="s">
        <v>204</v>
      </c>
      <c r="C7" s="12">
        <v>0</v>
      </c>
      <c r="D7" s="12">
        <v>2790</v>
      </c>
      <c r="E7" s="12">
        <v>-868</v>
      </c>
      <c r="F7" s="8">
        <f t="shared" si="0"/>
        <v>91.666666666666671</v>
      </c>
      <c r="G7" s="13" t="s">
        <v>192</v>
      </c>
      <c r="H7" s="13">
        <f>81+50/60</f>
        <v>81.833333333333329</v>
      </c>
      <c r="I7" s="13"/>
      <c r="J7" s="13"/>
      <c r="K7" s="30">
        <f>83+48/60</f>
        <v>83.8</v>
      </c>
      <c r="L7" s="13">
        <f t="shared" si="1"/>
        <v>88.333333333333329</v>
      </c>
      <c r="M7" s="13">
        <v>3</v>
      </c>
      <c r="N7" s="13"/>
      <c r="O7" s="13"/>
      <c r="P7" s="13"/>
      <c r="Q7" s="31"/>
    </row>
    <row r="8" spans="1:17" x14ac:dyDescent="0.25">
      <c r="A8" s="8" t="s">
        <v>174</v>
      </c>
      <c r="B8" s="12" t="s">
        <v>204</v>
      </c>
      <c r="C8" s="12">
        <v>0</v>
      </c>
      <c r="D8" s="12">
        <v>2338</v>
      </c>
      <c r="E8" s="12">
        <v>-908</v>
      </c>
      <c r="F8" s="8">
        <f t="shared" si="0"/>
        <v>91.666666666666671</v>
      </c>
      <c r="G8" s="13" t="s">
        <v>198</v>
      </c>
      <c r="H8" s="29"/>
      <c r="I8" s="13"/>
      <c r="J8" s="13"/>
      <c r="K8" s="30"/>
      <c r="L8" s="13">
        <f t="shared" si="1"/>
        <v>88.333333333333329</v>
      </c>
      <c r="M8" s="13">
        <v>4</v>
      </c>
      <c r="N8" s="13" t="s">
        <v>206</v>
      </c>
      <c r="O8" s="13"/>
      <c r="P8" s="13"/>
      <c r="Q8" s="31">
        <f>86.25</f>
        <v>86.25</v>
      </c>
    </row>
    <row r="9" spans="1:17" x14ac:dyDescent="0.25">
      <c r="A9" s="8" t="s">
        <v>175</v>
      </c>
      <c r="B9" s="12" t="s">
        <v>205</v>
      </c>
      <c r="C9" s="12">
        <v>0</v>
      </c>
      <c r="D9" s="12">
        <v>1187</v>
      </c>
      <c r="E9" s="12">
        <v>-905</v>
      </c>
      <c r="F9" s="8">
        <f t="shared" si="0"/>
        <v>91.666666666666671</v>
      </c>
      <c r="G9" s="13" t="s">
        <v>198</v>
      </c>
      <c r="H9" s="13"/>
      <c r="I9" s="13"/>
      <c r="J9" s="13"/>
      <c r="K9" s="30"/>
      <c r="L9" s="13">
        <f t="shared" si="1"/>
        <v>88.333333333333329</v>
      </c>
      <c r="M9" s="13">
        <v>5</v>
      </c>
      <c r="N9" s="13" t="s">
        <v>206</v>
      </c>
      <c r="O9" s="13"/>
      <c r="P9" s="13"/>
      <c r="Q9" s="31">
        <f>86.25</f>
        <v>86.25</v>
      </c>
    </row>
    <row r="10" spans="1:17" x14ac:dyDescent="0.25">
      <c r="A10" s="8" t="s">
        <v>176</v>
      </c>
      <c r="B10" s="12" t="s">
        <v>205</v>
      </c>
      <c r="C10" s="12">
        <v>0</v>
      </c>
      <c r="D10" s="12">
        <v>788</v>
      </c>
      <c r="E10" s="12">
        <v>-865</v>
      </c>
      <c r="F10" s="8">
        <f t="shared" si="0"/>
        <v>91.666666666666671</v>
      </c>
      <c r="G10" s="13" t="s">
        <v>192</v>
      </c>
      <c r="H10" s="29">
        <f>81+50/60</f>
        <v>81.833333333333329</v>
      </c>
      <c r="I10" s="13"/>
      <c r="J10" s="13"/>
      <c r="K10" s="30">
        <f>83+48/60</f>
        <v>83.8</v>
      </c>
      <c r="L10" s="13">
        <f t="shared" si="1"/>
        <v>88.333333333333329</v>
      </c>
      <c r="M10" s="13">
        <v>6</v>
      </c>
      <c r="N10" s="13"/>
      <c r="O10" s="13"/>
      <c r="P10" s="12"/>
      <c r="Q10" s="31"/>
    </row>
    <row r="11" spans="1:17" x14ac:dyDescent="0.25">
      <c r="A11" s="8" t="s">
        <v>177</v>
      </c>
      <c r="B11" s="12" t="s">
        <v>203</v>
      </c>
      <c r="C11" s="12">
        <v>0</v>
      </c>
      <c r="D11" s="12">
        <v>-5241</v>
      </c>
      <c r="E11" s="12">
        <v>-854</v>
      </c>
      <c r="F11" s="8">
        <f t="shared" si="0"/>
        <v>91.666666666666671</v>
      </c>
      <c r="G11" s="13" t="s">
        <v>192</v>
      </c>
      <c r="H11" s="13">
        <f>82+9/60</f>
        <v>82.15</v>
      </c>
      <c r="I11" s="13"/>
      <c r="J11" s="13"/>
      <c r="K11" s="30">
        <f>84+1/60</f>
        <v>84.016666666666666</v>
      </c>
      <c r="L11" s="13">
        <f t="shared" si="1"/>
        <v>88.333333333333329</v>
      </c>
      <c r="M11" s="13">
        <v>7</v>
      </c>
      <c r="N11" s="13"/>
      <c r="O11" s="13"/>
      <c r="P11" s="12"/>
      <c r="Q11" s="31"/>
    </row>
    <row r="12" spans="1:17" x14ac:dyDescent="0.25">
      <c r="A12" s="8" t="s">
        <v>178</v>
      </c>
      <c r="B12" s="12" t="s">
        <v>203</v>
      </c>
      <c r="C12" s="12">
        <v>0</v>
      </c>
      <c r="D12" s="12">
        <v>-5649</v>
      </c>
      <c r="E12" s="12">
        <v>-895</v>
      </c>
      <c r="F12" s="8">
        <f t="shared" si="0"/>
        <v>91.666666666666671</v>
      </c>
      <c r="G12" s="13" t="s">
        <v>198</v>
      </c>
      <c r="H12" s="29"/>
      <c r="I12" s="13"/>
      <c r="J12" s="13"/>
      <c r="K12" s="30"/>
      <c r="L12" s="13">
        <f t="shared" si="1"/>
        <v>88.333333333333329</v>
      </c>
      <c r="M12" s="13">
        <v>8</v>
      </c>
      <c r="N12" s="13">
        <f>84+53/60</f>
        <v>84.88333333333334</v>
      </c>
      <c r="O12" s="13"/>
      <c r="P12" s="12"/>
      <c r="Q12" s="31">
        <f>86.5</f>
        <v>86.5</v>
      </c>
    </row>
    <row r="13" spans="1:17" x14ac:dyDescent="0.25">
      <c r="A13" s="8" t="s">
        <v>179</v>
      </c>
      <c r="B13" s="12" t="s">
        <v>202</v>
      </c>
      <c r="C13" s="12">
        <v>0</v>
      </c>
      <c r="D13" s="12">
        <v>9004</v>
      </c>
      <c r="E13" s="12">
        <v>-1356</v>
      </c>
      <c r="F13" s="8">
        <f t="shared" si="0"/>
        <v>91.666666666666671</v>
      </c>
      <c r="G13" s="13" t="s">
        <v>199</v>
      </c>
      <c r="H13" s="13"/>
      <c r="I13" s="13"/>
      <c r="J13" s="13"/>
      <c r="K13" s="30"/>
      <c r="L13" s="13">
        <f t="shared" si="1"/>
        <v>88.333333333333329</v>
      </c>
      <c r="M13" s="13">
        <v>9</v>
      </c>
      <c r="N13" s="13">
        <f>85+25/60</f>
        <v>85.416666666666671</v>
      </c>
      <c r="O13" s="13"/>
      <c r="P13" s="12"/>
      <c r="Q13" s="31">
        <f>86+55/60</f>
        <v>86.916666666666671</v>
      </c>
    </row>
    <row r="14" spans="1:17" x14ac:dyDescent="0.25">
      <c r="A14" s="8" t="s">
        <v>180</v>
      </c>
      <c r="B14" s="12" t="s">
        <v>202</v>
      </c>
      <c r="C14" s="12">
        <v>0</v>
      </c>
      <c r="D14" s="12">
        <v>8590</v>
      </c>
      <c r="E14" s="12">
        <v>-1314</v>
      </c>
      <c r="F14" s="8">
        <f t="shared" si="0"/>
        <v>91.666666666666671</v>
      </c>
      <c r="G14" s="13" t="s">
        <v>193</v>
      </c>
      <c r="H14" s="13">
        <f>82+39/60</f>
        <v>82.65</v>
      </c>
      <c r="I14" s="13"/>
      <c r="J14" s="13"/>
      <c r="K14" s="30">
        <f>84+22/60</f>
        <v>84.36666666666666</v>
      </c>
      <c r="L14" s="13">
        <f t="shared" si="1"/>
        <v>88.333333333333329</v>
      </c>
      <c r="M14" s="13">
        <v>10</v>
      </c>
      <c r="N14" s="13"/>
      <c r="O14" s="12"/>
      <c r="P14" s="12"/>
      <c r="Q14" s="31"/>
    </row>
    <row r="15" spans="1:17" x14ac:dyDescent="0.25">
      <c r="A15" s="8" t="s">
        <v>181</v>
      </c>
      <c r="B15" s="12" t="s">
        <v>204</v>
      </c>
      <c r="C15" s="12">
        <v>0</v>
      </c>
      <c r="D15" s="12">
        <v>2771</v>
      </c>
      <c r="E15" s="12">
        <v>-1368</v>
      </c>
      <c r="F15" s="8">
        <f t="shared" si="0"/>
        <v>91.666666666666671</v>
      </c>
      <c r="G15" s="13" t="s">
        <v>193</v>
      </c>
      <c r="H15" s="13">
        <f>82+23/60</f>
        <v>82.38333333333334</v>
      </c>
      <c r="I15" s="13"/>
      <c r="J15" s="13"/>
      <c r="K15" s="30">
        <f>84+12/60</f>
        <v>84.2</v>
      </c>
      <c r="L15" s="13">
        <f t="shared" si="1"/>
        <v>88.333333333333329</v>
      </c>
      <c r="M15" s="13">
        <v>11</v>
      </c>
      <c r="N15" s="13"/>
      <c r="O15" s="12"/>
      <c r="P15" s="12"/>
      <c r="Q15" s="31"/>
    </row>
    <row r="16" spans="1:17" x14ac:dyDescent="0.25">
      <c r="A16" s="8" t="s">
        <v>182</v>
      </c>
      <c r="B16" s="12" t="s">
        <v>204</v>
      </c>
      <c r="C16" s="12">
        <v>0</v>
      </c>
      <c r="D16" s="12">
        <v>2369</v>
      </c>
      <c r="E16" s="12">
        <v>-1408</v>
      </c>
      <c r="F16" s="8">
        <f t="shared" si="0"/>
        <v>91.666666666666671</v>
      </c>
      <c r="G16" s="13" t="s">
        <v>199</v>
      </c>
      <c r="H16" s="29"/>
      <c r="I16" s="29"/>
      <c r="J16" s="13"/>
      <c r="K16" s="30"/>
      <c r="L16" s="13">
        <f t="shared" si="1"/>
        <v>88.333333333333329</v>
      </c>
      <c r="M16" s="13">
        <v>12</v>
      </c>
      <c r="N16" s="13" t="s">
        <v>206</v>
      </c>
      <c r="O16" s="13"/>
      <c r="P16" s="12"/>
      <c r="Q16" s="31">
        <f>86+42/60</f>
        <v>86.7</v>
      </c>
    </row>
    <row r="17" spans="1:17" x14ac:dyDescent="0.25">
      <c r="A17" s="8" t="s">
        <v>183</v>
      </c>
      <c r="B17" s="12" t="s">
        <v>205</v>
      </c>
      <c r="C17" s="12">
        <v>0</v>
      </c>
      <c r="D17" s="12">
        <v>1168</v>
      </c>
      <c r="E17" s="12">
        <v>-1405</v>
      </c>
      <c r="F17" s="8">
        <f t="shared" si="0"/>
        <v>91.666666666666671</v>
      </c>
      <c r="G17" s="13" t="s">
        <v>199</v>
      </c>
      <c r="H17" s="13"/>
      <c r="I17" s="29"/>
      <c r="J17" s="13"/>
      <c r="K17" s="30"/>
      <c r="L17" s="13">
        <f t="shared" si="1"/>
        <v>88.333333333333329</v>
      </c>
      <c r="M17" s="13">
        <v>13</v>
      </c>
      <c r="N17" s="13" t="s">
        <v>206</v>
      </c>
      <c r="O17" s="13"/>
      <c r="P17" s="12"/>
      <c r="Q17" s="31">
        <f>86+42/60</f>
        <v>86.7</v>
      </c>
    </row>
    <row r="18" spans="1:17" x14ac:dyDescent="0.25">
      <c r="A18" s="8" t="s">
        <v>184</v>
      </c>
      <c r="B18" s="12" t="s">
        <v>205</v>
      </c>
      <c r="C18" s="12">
        <v>0</v>
      </c>
      <c r="D18" s="12">
        <v>770</v>
      </c>
      <c r="E18" s="12">
        <v>-1365</v>
      </c>
      <c r="F18" s="8">
        <f t="shared" si="0"/>
        <v>91.666666666666671</v>
      </c>
      <c r="G18" s="13" t="s">
        <v>193</v>
      </c>
      <c r="H18" s="13">
        <f>82+23/60</f>
        <v>82.38333333333334</v>
      </c>
      <c r="I18" s="13"/>
      <c r="J18" s="13"/>
      <c r="K18" s="30">
        <f>84+12/60</f>
        <v>84.2</v>
      </c>
      <c r="L18" s="13">
        <f t="shared" si="1"/>
        <v>88.333333333333329</v>
      </c>
      <c r="M18" s="13">
        <v>14</v>
      </c>
      <c r="N18" s="13"/>
      <c r="O18" s="12"/>
      <c r="P18" s="12"/>
      <c r="Q18" s="31"/>
    </row>
    <row r="19" spans="1:17" x14ac:dyDescent="0.25">
      <c r="A19" s="8" t="s">
        <v>185</v>
      </c>
      <c r="B19" s="12" t="s">
        <v>203</v>
      </c>
      <c r="C19" s="12">
        <v>0</v>
      </c>
      <c r="D19" s="12">
        <v>-5085</v>
      </c>
      <c r="E19" s="12">
        <v>-1329</v>
      </c>
      <c r="F19" s="8">
        <f t="shared" si="0"/>
        <v>91.666666666666671</v>
      </c>
      <c r="G19" s="13" t="s">
        <v>193</v>
      </c>
      <c r="H19" s="13">
        <f>82+40/60</f>
        <v>82.666666666666671</v>
      </c>
      <c r="I19" s="13"/>
      <c r="J19" s="13"/>
      <c r="K19" s="30">
        <f>84+23/60</f>
        <v>84.38333333333334</v>
      </c>
      <c r="L19" s="13">
        <f t="shared" si="1"/>
        <v>88.333333333333329</v>
      </c>
      <c r="M19" s="13">
        <v>15</v>
      </c>
      <c r="N19" s="13"/>
      <c r="O19" s="12"/>
      <c r="P19" s="12"/>
      <c r="Q19" s="31"/>
    </row>
    <row r="20" spans="1:17" x14ac:dyDescent="0.25">
      <c r="A20" s="8" t="s">
        <v>186</v>
      </c>
      <c r="B20" s="12" t="s">
        <v>203</v>
      </c>
      <c r="C20" s="12">
        <v>0</v>
      </c>
      <c r="D20" s="12">
        <v>-5493</v>
      </c>
      <c r="E20" s="12">
        <v>-1370</v>
      </c>
      <c r="F20" s="8">
        <f t="shared" si="0"/>
        <v>91.666666666666671</v>
      </c>
      <c r="G20" s="13" t="s">
        <v>199</v>
      </c>
      <c r="H20" s="13"/>
      <c r="I20" s="29"/>
      <c r="J20" s="13"/>
      <c r="K20" s="30"/>
      <c r="L20" s="13">
        <f t="shared" si="1"/>
        <v>88.333333333333329</v>
      </c>
      <c r="M20" s="13">
        <v>16</v>
      </c>
      <c r="N20" s="13">
        <f>85+27/60</f>
        <v>85.45</v>
      </c>
      <c r="O20" s="13"/>
      <c r="P20" s="12"/>
      <c r="Q20" s="31">
        <f>86+56/60</f>
        <v>86.933333333333337</v>
      </c>
    </row>
    <row r="21" spans="1:17" x14ac:dyDescent="0.25">
      <c r="A21" s="8" t="s">
        <v>187</v>
      </c>
      <c r="B21" s="12"/>
      <c r="C21" s="12">
        <v>0</v>
      </c>
      <c r="D21" s="12">
        <v>8818</v>
      </c>
      <c r="E21" s="12">
        <v>-1820</v>
      </c>
      <c r="F21" s="8">
        <f t="shared" si="0"/>
        <v>91.666666666666671</v>
      </c>
      <c r="G21" s="13" t="s">
        <v>199</v>
      </c>
      <c r="H21" s="13" t="s">
        <v>166</v>
      </c>
      <c r="I21" s="29"/>
      <c r="J21" s="13"/>
      <c r="K21" s="30"/>
      <c r="L21" s="13">
        <f t="shared" si="1"/>
        <v>88.333333333333329</v>
      </c>
      <c r="M21" s="13">
        <v>17</v>
      </c>
      <c r="N21" s="13">
        <f>85+59/60</f>
        <v>85.983333333333334</v>
      </c>
      <c r="O21" s="13"/>
      <c r="P21" s="12"/>
      <c r="Q21" s="31"/>
    </row>
    <row r="22" spans="1:17" ht="15.75" thickBot="1" x14ac:dyDescent="0.3">
      <c r="A22" s="19" t="s">
        <v>188</v>
      </c>
      <c r="B22" s="20"/>
      <c r="C22" s="20">
        <v>0</v>
      </c>
      <c r="D22" s="20">
        <v>-5337</v>
      </c>
      <c r="E22" s="20">
        <v>-1845</v>
      </c>
      <c r="F22" s="19">
        <f t="shared" si="0"/>
        <v>91.666666666666671</v>
      </c>
      <c r="G22" s="20" t="s">
        <v>199</v>
      </c>
      <c r="H22" s="32" t="s">
        <v>166</v>
      </c>
      <c r="I22" s="29"/>
      <c r="J22" s="32"/>
      <c r="K22" s="33"/>
      <c r="L22" s="32">
        <f t="shared" si="1"/>
        <v>88.333333333333329</v>
      </c>
      <c r="M22" s="20">
        <v>18</v>
      </c>
      <c r="N22" s="32">
        <v>86</v>
      </c>
      <c r="O22" s="20"/>
      <c r="P22" s="20"/>
      <c r="Q22" s="34"/>
    </row>
    <row r="23" spans="1:17" x14ac:dyDescent="0.25">
      <c r="A23" s="4" t="s">
        <v>171</v>
      </c>
      <c r="B23" s="10" t="s">
        <v>209</v>
      </c>
      <c r="C23" s="10">
        <v>0</v>
      </c>
      <c r="D23" s="10">
        <v>9190</v>
      </c>
      <c r="E23" s="10">
        <v>-892</v>
      </c>
      <c r="F23" s="4"/>
      <c r="G23" s="10" t="s">
        <v>211</v>
      </c>
      <c r="H23" s="26"/>
      <c r="I23" s="26"/>
      <c r="J23" s="26"/>
      <c r="K23" s="27"/>
      <c r="L23" s="26"/>
      <c r="M23" s="10" t="s">
        <v>211</v>
      </c>
      <c r="N23" s="26"/>
      <c r="O23" s="26"/>
      <c r="P23" s="26"/>
      <c r="Q23" s="28">
        <f>88+23/60</f>
        <v>88.38333333333334</v>
      </c>
    </row>
    <row r="24" spans="1:17" x14ac:dyDescent="0.25">
      <c r="A24" s="8" t="s">
        <v>172</v>
      </c>
      <c r="B24" s="12" t="s">
        <v>209</v>
      </c>
      <c r="C24" s="12">
        <v>0</v>
      </c>
      <c r="D24" s="54">
        <v>8776</v>
      </c>
      <c r="E24" s="54">
        <v>-850</v>
      </c>
      <c r="F24" s="8"/>
      <c r="G24" s="13" t="s">
        <v>207</v>
      </c>
      <c r="H24" s="13"/>
      <c r="I24" s="13"/>
      <c r="J24" s="13"/>
      <c r="K24" s="30">
        <f>87+52/60</f>
        <v>87.86666666666666</v>
      </c>
      <c r="L24" s="13"/>
      <c r="M24" s="13" t="s">
        <v>207</v>
      </c>
      <c r="N24" s="13"/>
      <c r="O24" s="13"/>
      <c r="P24" s="13"/>
      <c r="Q24" s="31"/>
    </row>
    <row r="25" spans="1:17" x14ac:dyDescent="0.25">
      <c r="A25" s="8" t="s">
        <v>173</v>
      </c>
      <c r="B25" s="12" t="s">
        <v>204</v>
      </c>
      <c r="C25" s="12">
        <v>0</v>
      </c>
      <c r="D25" s="54">
        <v>2790</v>
      </c>
      <c r="E25" s="54">
        <v>-868</v>
      </c>
      <c r="F25" s="8"/>
      <c r="G25" s="13" t="s">
        <v>207</v>
      </c>
      <c r="H25" s="13"/>
      <c r="I25" s="13"/>
      <c r="J25" s="13"/>
      <c r="K25" s="30">
        <f>88+59/60</f>
        <v>88.983333333333334</v>
      </c>
      <c r="L25" s="13"/>
      <c r="M25" s="13" t="s">
        <v>207</v>
      </c>
      <c r="N25" s="13" t="s">
        <v>206</v>
      </c>
      <c r="O25" s="13"/>
      <c r="P25" s="13"/>
      <c r="Q25" s="31"/>
    </row>
    <row r="26" spans="1:17" x14ac:dyDescent="0.25">
      <c r="A26" s="8" t="s">
        <v>174</v>
      </c>
      <c r="B26" s="12" t="s">
        <v>204</v>
      </c>
      <c r="C26" s="12">
        <v>0</v>
      </c>
      <c r="D26" s="54">
        <v>2338</v>
      </c>
      <c r="E26" s="54">
        <v>-908</v>
      </c>
      <c r="F26" s="8"/>
      <c r="G26" s="13" t="s">
        <v>211</v>
      </c>
      <c r="H26" s="13"/>
      <c r="I26" s="13"/>
      <c r="J26" s="13"/>
      <c r="K26" s="30"/>
      <c r="L26" s="13"/>
      <c r="M26" s="13" t="s">
        <v>211</v>
      </c>
      <c r="N26" s="13" t="s">
        <v>206</v>
      </c>
      <c r="O26" s="13"/>
      <c r="P26" s="13"/>
      <c r="Q26" s="31">
        <f>88.5</f>
        <v>88.5</v>
      </c>
    </row>
    <row r="27" spans="1:17" x14ac:dyDescent="0.25">
      <c r="A27" s="8" t="s">
        <v>175</v>
      </c>
      <c r="B27" s="12" t="s">
        <v>205</v>
      </c>
      <c r="C27" s="12">
        <v>0</v>
      </c>
      <c r="D27" s="54">
        <v>1187</v>
      </c>
      <c r="E27" s="54">
        <v>-905</v>
      </c>
      <c r="F27" s="8"/>
      <c r="G27" s="13" t="s">
        <v>211</v>
      </c>
      <c r="H27" s="13"/>
      <c r="I27" s="13"/>
      <c r="J27" s="13"/>
      <c r="K27" s="30"/>
      <c r="L27" s="13"/>
      <c r="M27" s="13" t="s">
        <v>211</v>
      </c>
      <c r="N27" s="13" t="s">
        <v>206</v>
      </c>
      <c r="O27" s="13"/>
      <c r="P27" s="13"/>
      <c r="Q27" s="31">
        <f>89+54/60</f>
        <v>89.9</v>
      </c>
    </row>
    <row r="28" spans="1:17" x14ac:dyDescent="0.25">
      <c r="A28" s="8" t="s">
        <v>176</v>
      </c>
      <c r="B28" s="12" t="s">
        <v>205</v>
      </c>
      <c r="C28" s="12">
        <v>0</v>
      </c>
      <c r="D28" s="54">
        <v>788</v>
      </c>
      <c r="E28" s="54">
        <v>-865</v>
      </c>
      <c r="F28" s="8"/>
      <c r="G28" s="13" t="s">
        <v>207</v>
      </c>
      <c r="H28" s="12"/>
      <c r="I28" s="12"/>
      <c r="J28" s="12"/>
      <c r="K28" s="23">
        <f>90+39/60</f>
        <v>90.65</v>
      </c>
      <c r="L28" s="12"/>
      <c r="M28" s="13" t="s">
        <v>207</v>
      </c>
      <c r="N28" s="13" t="s">
        <v>206</v>
      </c>
      <c r="O28" s="13"/>
      <c r="P28" s="12"/>
      <c r="Q28" s="9"/>
    </row>
    <row r="29" spans="1:17" x14ac:dyDescent="0.25">
      <c r="A29" s="8" t="s">
        <v>177</v>
      </c>
      <c r="B29" s="12" t="s">
        <v>203</v>
      </c>
      <c r="C29" s="12">
        <v>0</v>
      </c>
      <c r="D29" s="54">
        <v>-5241</v>
      </c>
      <c r="E29" s="54">
        <v>-854</v>
      </c>
      <c r="F29" s="8"/>
      <c r="G29" s="13" t="s">
        <v>207</v>
      </c>
      <c r="H29" s="12"/>
      <c r="I29" s="13"/>
      <c r="J29" s="12"/>
      <c r="K29" s="23">
        <f>89+31/60</f>
        <v>89.516666666666666</v>
      </c>
      <c r="L29" s="12"/>
      <c r="M29" s="13" t="s">
        <v>207</v>
      </c>
      <c r="N29" s="12"/>
      <c r="O29" s="13"/>
      <c r="P29" s="12"/>
      <c r="Q29" s="9"/>
    </row>
    <row r="30" spans="1:17" x14ac:dyDescent="0.25">
      <c r="A30" s="8" t="s">
        <v>178</v>
      </c>
      <c r="B30" s="12" t="s">
        <v>203</v>
      </c>
      <c r="C30" s="12">
        <v>0</v>
      </c>
      <c r="D30" s="54">
        <v>-5649</v>
      </c>
      <c r="E30" s="54">
        <v>-895</v>
      </c>
      <c r="F30" s="8"/>
      <c r="G30" s="13" t="s">
        <v>211</v>
      </c>
      <c r="H30" s="12"/>
      <c r="I30" s="12"/>
      <c r="J30" s="12"/>
      <c r="K30" s="23"/>
      <c r="L30" s="12"/>
      <c r="M30" s="13" t="s">
        <v>211</v>
      </c>
      <c r="N30" s="12"/>
      <c r="O30" s="13"/>
      <c r="P30" s="12"/>
      <c r="Q30" s="9">
        <f>89+45/60</f>
        <v>89.75</v>
      </c>
    </row>
    <row r="31" spans="1:17" x14ac:dyDescent="0.25">
      <c r="A31" s="8" t="s">
        <v>179</v>
      </c>
      <c r="B31" s="12" t="s">
        <v>202</v>
      </c>
      <c r="C31" s="12">
        <v>0</v>
      </c>
      <c r="D31" s="54">
        <v>9004</v>
      </c>
      <c r="E31" s="54">
        <v>-1356</v>
      </c>
      <c r="F31" s="8"/>
      <c r="G31" s="13" t="s">
        <v>210</v>
      </c>
      <c r="H31" s="12"/>
      <c r="I31" s="12"/>
      <c r="J31" s="12"/>
      <c r="K31" s="23"/>
      <c r="L31" s="12"/>
      <c r="M31" s="13" t="s">
        <v>210</v>
      </c>
      <c r="N31" s="12"/>
      <c r="O31" s="13"/>
      <c r="P31" s="12"/>
      <c r="Q31" s="9">
        <f>88+31/60</f>
        <v>88.516666666666666</v>
      </c>
    </row>
    <row r="32" spans="1:17" x14ac:dyDescent="0.25">
      <c r="A32" s="8" t="s">
        <v>180</v>
      </c>
      <c r="B32" s="12" t="s">
        <v>202</v>
      </c>
      <c r="C32" s="12">
        <v>0</v>
      </c>
      <c r="D32" s="54">
        <v>8590</v>
      </c>
      <c r="E32" s="54">
        <v>-1314</v>
      </c>
      <c r="F32" s="8"/>
      <c r="G32" s="13" t="s">
        <v>208</v>
      </c>
      <c r="H32" s="12"/>
      <c r="I32" s="12"/>
      <c r="J32" s="12"/>
      <c r="K32" s="23">
        <f>87+59/60</f>
        <v>87.983333333333334</v>
      </c>
      <c r="L32" s="12"/>
      <c r="M32" s="13" t="s">
        <v>208</v>
      </c>
      <c r="N32" s="12"/>
      <c r="O32" s="12"/>
      <c r="P32" s="12"/>
      <c r="Q32" s="9"/>
    </row>
    <row r="33" spans="1:17" x14ac:dyDescent="0.25">
      <c r="A33" s="8" t="s">
        <v>181</v>
      </c>
      <c r="B33" s="12" t="s">
        <v>204</v>
      </c>
      <c r="C33" s="12">
        <v>0</v>
      </c>
      <c r="D33" s="54">
        <v>2771</v>
      </c>
      <c r="E33" s="54">
        <v>-1368</v>
      </c>
      <c r="F33" s="8"/>
      <c r="G33" s="13" t="s">
        <v>208</v>
      </c>
      <c r="H33" s="12"/>
      <c r="I33" s="13"/>
      <c r="J33" s="12"/>
      <c r="K33" s="23">
        <f>88+59/60</f>
        <v>88.983333333333334</v>
      </c>
      <c r="L33" s="12"/>
      <c r="M33" s="13" t="s">
        <v>208</v>
      </c>
      <c r="N33" s="12"/>
      <c r="O33" s="12"/>
      <c r="P33" s="12"/>
      <c r="Q33" s="9"/>
    </row>
    <row r="34" spans="1:17" x14ac:dyDescent="0.25">
      <c r="A34" s="8" t="s">
        <v>182</v>
      </c>
      <c r="B34" s="12" t="s">
        <v>204</v>
      </c>
      <c r="C34" s="12">
        <v>0</v>
      </c>
      <c r="D34" s="54">
        <v>2369</v>
      </c>
      <c r="E34" s="54">
        <v>-1408</v>
      </c>
      <c r="F34" s="8"/>
      <c r="G34" s="13" t="s">
        <v>210</v>
      </c>
      <c r="H34" s="12"/>
      <c r="J34" s="12"/>
      <c r="K34" s="23"/>
      <c r="L34" s="12"/>
      <c r="M34" s="13" t="s">
        <v>210</v>
      </c>
      <c r="N34" s="12"/>
      <c r="O34" s="13"/>
      <c r="P34" s="12"/>
      <c r="Q34" s="9">
        <f>88+30/60</f>
        <v>88.5</v>
      </c>
    </row>
    <row r="35" spans="1:17" x14ac:dyDescent="0.25">
      <c r="A35" s="8" t="s">
        <v>183</v>
      </c>
      <c r="B35" s="12" t="s">
        <v>205</v>
      </c>
      <c r="C35" s="12">
        <v>0</v>
      </c>
      <c r="D35" s="54">
        <v>1168</v>
      </c>
      <c r="E35" s="54">
        <v>-1405</v>
      </c>
      <c r="F35" s="8"/>
      <c r="G35" s="13" t="s">
        <v>210</v>
      </c>
      <c r="H35" s="12"/>
      <c r="J35" s="12"/>
      <c r="K35" s="23"/>
      <c r="L35" s="12"/>
      <c r="M35" s="13" t="s">
        <v>210</v>
      </c>
      <c r="N35" s="12"/>
      <c r="O35" s="13"/>
      <c r="P35" s="12"/>
      <c r="Q35" s="9">
        <f>89+54/60</f>
        <v>89.9</v>
      </c>
    </row>
    <row r="36" spans="1:17" x14ac:dyDescent="0.25">
      <c r="A36" s="8" t="s">
        <v>184</v>
      </c>
      <c r="B36" s="12" t="s">
        <v>205</v>
      </c>
      <c r="C36" s="12">
        <v>0</v>
      </c>
      <c r="D36" s="54">
        <v>770</v>
      </c>
      <c r="E36" s="54">
        <v>-1365</v>
      </c>
      <c r="F36" s="8"/>
      <c r="G36" s="13" t="s">
        <v>208</v>
      </c>
      <c r="H36" s="12"/>
      <c r="I36" s="13"/>
      <c r="J36" s="12"/>
      <c r="K36" s="23">
        <f>90+39/60</f>
        <v>90.65</v>
      </c>
      <c r="L36" s="12"/>
      <c r="M36" s="13" t="s">
        <v>208</v>
      </c>
      <c r="N36" s="12"/>
      <c r="O36" s="12"/>
      <c r="P36" s="12"/>
      <c r="Q36" s="9"/>
    </row>
    <row r="37" spans="1:17" x14ac:dyDescent="0.25">
      <c r="A37" s="8" t="s">
        <v>185</v>
      </c>
      <c r="B37" s="12" t="s">
        <v>203</v>
      </c>
      <c r="C37" s="12">
        <v>0</v>
      </c>
      <c r="D37" s="54">
        <v>-5085</v>
      </c>
      <c r="E37" s="54">
        <v>-1329</v>
      </c>
      <c r="F37" s="8"/>
      <c r="G37" s="13" t="s">
        <v>208</v>
      </c>
      <c r="H37" s="12"/>
      <c r="I37" s="13"/>
      <c r="J37" s="12"/>
      <c r="K37" s="23">
        <f>89+38/60</f>
        <v>89.63333333333334</v>
      </c>
      <c r="L37" s="12"/>
      <c r="M37" s="13" t="s">
        <v>208</v>
      </c>
      <c r="N37" s="12"/>
      <c r="O37" s="12"/>
      <c r="P37" s="12"/>
      <c r="Q37" s="9"/>
    </row>
    <row r="38" spans="1:17" x14ac:dyDescent="0.25">
      <c r="A38" s="8" t="s">
        <v>186</v>
      </c>
      <c r="B38" s="12" t="s">
        <v>203</v>
      </c>
      <c r="C38" s="12">
        <v>0</v>
      </c>
      <c r="D38" s="54">
        <v>-5493</v>
      </c>
      <c r="E38" s="54">
        <v>-1370</v>
      </c>
      <c r="F38" s="8"/>
      <c r="G38" s="13" t="s">
        <v>210</v>
      </c>
      <c r="H38" s="12"/>
      <c r="J38" s="12"/>
      <c r="K38" s="23"/>
      <c r="L38" s="12"/>
      <c r="M38" s="13" t="s">
        <v>210</v>
      </c>
      <c r="N38" s="12"/>
      <c r="O38" s="13"/>
      <c r="P38" s="12"/>
      <c r="Q38" s="9">
        <f>89+54/60</f>
        <v>89.9</v>
      </c>
    </row>
    <row r="39" spans="1:17" x14ac:dyDescent="0.25">
      <c r="A39" s="8" t="s">
        <v>187</v>
      </c>
      <c r="B39" s="12"/>
      <c r="C39" s="12">
        <v>0</v>
      </c>
      <c r="D39" s="54">
        <v>8818</v>
      </c>
      <c r="E39" s="54">
        <v>-1820</v>
      </c>
      <c r="F39" s="8"/>
      <c r="G39" s="13" t="s">
        <v>210</v>
      </c>
      <c r="H39" s="12"/>
      <c r="J39" s="12"/>
      <c r="K39" s="23"/>
      <c r="L39" s="12"/>
      <c r="M39" s="13" t="s">
        <v>210</v>
      </c>
      <c r="N39" s="12"/>
      <c r="O39" s="13"/>
      <c r="P39" s="12"/>
      <c r="Q39" s="9"/>
    </row>
    <row r="40" spans="1:17" ht="15.75" thickBot="1" x14ac:dyDescent="0.3">
      <c r="A40" s="19" t="s">
        <v>188</v>
      </c>
      <c r="B40" s="20"/>
      <c r="C40" s="20">
        <v>0</v>
      </c>
      <c r="D40" s="20">
        <v>-5337</v>
      </c>
      <c r="E40" s="20">
        <v>-1845</v>
      </c>
      <c r="F40" s="19"/>
      <c r="G40" s="20" t="s">
        <v>210</v>
      </c>
      <c r="H40" s="20"/>
      <c r="I40" s="20"/>
      <c r="J40" s="20"/>
      <c r="K40" s="25"/>
      <c r="L40" s="20"/>
      <c r="M40" s="20" t="s">
        <v>210</v>
      </c>
      <c r="N40" s="20"/>
      <c r="O40" s="20"/>
      <c r="P40" s="20"/>
      <c r="Q40" s="2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Align</vt:lpstr>
      <vt:lpstr>TendonLayout</vt:lpstr>
      <vt:lpstr>TendonLayout1</vt:lpstr>
      <vt:lpstr>Segment Lengths</vt:lpstr>
      <vt:lpstr>Segments</vt:lpstr>
      <vt:lpstr>FutureTendons</vt:lpstr>
      <vt:lpstr>Radius_at_L201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Adams</dc:creator>
  <cp:lastModifiedBy>Steve Adams</cp:lastModifiedBy>
  <dcterms:created xsi:type="dcterms:W3CDTF">2019-05-15T18:22:40Z</dcterms:created>
  <dcterms:modified xsi:type="dcterms:W3CDTF">2019-06-25T20:55:59Z</dcterms:modified>
</cp:coreProperties>
</file>